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20" tabRatio="708" activeTab="0"/>
  </bookViews>
  <sheets>
    <sheet name="Главная" sheetId="1" r:id="rId1"/>
    <sheet name="KronoCompact" sheetId="2" r:id="rId2"/>
    <sheet name="KronoSiding" sheetId="3" r:id="rId3"/>
    <sheet name=" пластик HPL" sheetId="4" r:id="rId4"/>
    <sheet name="HPL_от 1 листа_Express" sheetId="5" r:id="rId5"/>
    <sheet name="Мультикор" sheetId="6" r:id="rId6"/>
    <sheet name="HPL_трудногорючий" sheetId="7" r:id="rId7"/>
    <sheet name="Контакты" sheetId="8" r:id="rId8"/>
  </sheets>
  <externalReferences>
    <externalReference r:id="rId11"/>
  </externalReferences>
  <definedNames>
    <definedName name="_xlnm.Print_Area" localSheetId="4">'HPL_от 1 листа_Express'!$A$1:$J$52</definedName>
    <definedName name="_xlnm.Print_Area" localSheetId="1">'KronoCompact'!$A$1:$E$76</definedName>
    <definedName name="_xlnm.Print_Area" localSheetId="2">'KronoSiding'!$A$1:$I$33</definedName>
    <definedName name="_xlnm.Print_Area" localSheetId="0">'Главная'!$A$1:$B$12</definedName>
    <definedName name="_xlnm.Print_Area" localSheetId="7">'Контакты'!$A$1:$D$38</definedName>
  </definedNames>
  <calcPr fullCalcOnLoad="1"/>
</workbook>
</file>

<file path=xl/sharedStrings.xml><?xml version="1.0" encoding="utf-8"?>
<sst xmlns="http://schemas.openxmlformats.org/spreadsheetml/2006/main" count="543" uniqueCount="435">
  <si>
    <t>Компакт ламинат KronoCompact</t>
  </si>
  <si>
    <t>Производитель - KronoSpan Pustkow, Польша</t>
  </si>
  <si>
    <t>Смотрите виды и характеристики компакт ламината KronoCompact на сайте:</t>
  </si>
  <si>
    <t>на главную</t>
  </si>
  <si>
    <t>стержень</t>
  </si>
  <si>
    <t xml:space="preserve">коричневый </t>
  </si>
  <si>
    <t>черный</t>
  </si>
  <si>
    <t>толщина/            класс горючести</t>
  </si>
  <si>
    <t>Г4</t>
  </si>
  <si>
    <t>2мм</t>
  </si>
  <si>
    <t>3мм</t>
  </si>
  <si>
    <t>4мм</t>
  </si>
  <si>
    <t>5мм</t>
  </si>
  <si>
    <t>6мм</t>
  </si>
  <si>
    <t>8мм</t>
  </si>
  <si>
    <t>10мм</t>
  </si>
  <si>
    <t>12мм</t>
  </si>
  <si>
    <t>13мм</t>
  </si>
  <si>
    <t>15мм</t>
  </si>
  <si>
    <t>18мм</t>
  </si>
  <si>
    <t>20мм</t>
  </si>
  <si>
    <t>KronoCompact в структуре SQ производится только в форматах 2800*1300мм, 3050*1300мм</t>
  </si>
  <si>
    <t>Формат плит, мм</t>
  </si>
  <si>
    <t>2800*1300</t>
  </si>
  <si>
    <t>3050*1300</t>
  </si>
  <si>
    <t>2800*2040</t>
  </si>
  <si>
    <t>5580*2040</t>
  </si>
  <si>
    <t>площадь,                    кв. м</t>
  </si>
  <si>
    <t>+</t>
  </si>
  <si>
    <t xml:space="preserve"> Срок производства и доставки на склад заказа от 1 листа в г. Киев 3-6 недель</t>
  </si>
  <si>
    <t>структуры поверхности: BS - мелкозернистая, PE - крупно зернистая,                                                                 PR - рустикальная (под структуру дерева), SM –полуматовая</t>
  </si>
  <si>
    <t>Акции на KronoCompact смотрите на нашем сайте</t>
  </si>
  <si>
    <t>Компакт ламинат KronoSiding</t>
  </si>
  <si>
    <t>Размер
панели [мм]</t>
  </si>
  <si>
    <t>Количество в
упаковке [шт.]</t>
  </si>
  <si>
    <t>Площадь панелей
в упаковке [м2]</t>
  </si>
  <si>
    <t>Структура</t>
  </si>
  <si>
    <t>Тип</t>
  </si>
  <si>
    <t>Толщина</t>
  </si>
  <si>
    <t>Зажим
[шт./уп.]</t>
  </si>
  <si>
    <t xml:space="preserve"> кв. м</t>
  </si>
  <si>
    <t>упаковки</t>
  </si>
  <si>
    <t>3050x255</t>
  </si>
  <si>
    <t>BS</t>
  </si>
  <si>
    <t>EDS</t>
  </si>
  <si>
    <t>6mm</t>
  </si>
  <si>
    <t>8mm</t>
  </si>
  <si>
    <t>Поверхность одной панели: 0,778 [м2]</t>
  </si>
  <si>
    <t xml:space="preserve"> Поверхность покрытия одной панели: 0,702 [m2]</t>
  </si>
  <si>
    <t xml:space="preserve"> Поверхность  покрытия панелей в упаковке: 3,51 [m2]</t>
  </si>
  <si>
    <t xml:space="preserve"> Вес панелей в упаковке: 32,67 [kg]</t>
  </si>
  <si>
    <t>Декоры:</t>
  </si>
  <si>
    <t xml:space="preserve">0101 Белый крем </t>
  </si>
  <si>
    <t>6017 Кедр Винстон</t>
  </si>
  <si>
    <t xml:space="preserve">0162 Графит серый </t>
  </si>
  <si>
    <t>6018 Клен Норфольк</t>
  </si>
  <si>
    <t xml:space="preserve">0515 Песок </t>
  </si>
  <si>
    <t xml:space="preserve">6044 Ясень </t>
  </si>
  <si>
    <t xml:space="preserve">8822 Беж песочный </t>
  </si>
  <si>
    <t>6045 Метрополис</t>
  </si>
  <si>
    <t>8830 Бело-серый</t>
  </si>
  <si>
    <t xml:space="preserve">6046 Палисандер               </t>
  </si>
  <si>
    <t xml:space="preserve">8848 Зеленый </t>
  </si>
  <si>
    <t>6047Дерево античное серое</t>
  </si>
  <si>
    <t>9554 Коралловый</t>
  </si>
  <si>
    <t xml:space="preserve">6048 Дерево античное коричневое </t>
  </si>
  <si>
    <t>9558 Желтый</t>
  </si>
  <si>
    <t>6049 Дуб светлый</t>
  </si>
  <si>
    <r>
      <t xml:space="preserve">Минимальный заказ: </t>
    </r>
    <r>
      <rPr>
        <b/>
        <sz val="11"/>
        <color indexed="59"/>
        <rFont val="Times New Roman"/>
        <family val="1"/>
      </rPr>
      <t>1 упаковка</t>
    </r>
  </si>
  <si>
    <t>Пластик HPL</t>
  </si>
  <si>
    <t>Смотрите виды и характеристики пластика HPL на сайте:</t>
  </si>
  <si>
    <t>http://plastics.ua/dom/products/Пластик HPL</t>
  </si>
  <si>
    <t>Прайс на пластик HPL (стандартный и постформируемый),</t>
  </si>
  <si>
    <t>структура</t>
  </si>
  <si>
    <t xml:space="preserve"> для структур BS, PE, PR, SM</t>
  </si>
  <si>
    <t>SQ - глянец</t>
  </si>
  <si>
    <t>толщина, мм</t>
  </si>
  <si>
    <t>белый</t>
  </si>
  <si>
    <t>разноцветный</t>
  </si>
  <si>
    <t>под дерево</t>
  </si>
  <si>
    <t>интенсивный разноц, фантазийный</t>
  </si>
  <si>
    <t>Метализированные пластики</t>
  </si>
  <si>
    <t>D-6055</t>
  </si>
  <si>
    <t>D-6060/ D-6071</t>
  </si>
  <si>
    <t>Размер листа, мм</t>
  </si>
  <si>
    <t>1320 * 3050</t>
  </si>
  <si>
    <t>1320 * 2800</t>
  </si>
  <si>
    <t>1880-5500 * 1320</t>
  </si>
  <si>
    <t xml:space="preserve">Площадь листа, кв. м </t>
  </si>
  <si>
    <t>2,48 - 7,26</t>
  </si>
  <si>
    <t>Минимальный заказ, листы</t>
  </si>
  <si>
    <t>Структура поверхности:</t>
  </si>
  <si>
    <r>
      <t xml:space="preserve">BS – </t>
    </r>
    <r>
      <rPr>
        <sz val="10"/>
        <color indexed="59"/>
        <rFont val="Arial"/>
        <family val="2"/>
      </rPr>
      <t>мелкозернистая</t>
    </r>
  </si>
  <si>
    <r>
      <t xml:space="preserve">PE – </t>
    </r>
    <r>
      <rPr>
        <sz val="10"/>
        <color indexed="59"/>
        <rFont val="Arial"/>
        <family val="2"/>
      </rPr>
      <t>крупнозернистая</t>
    </r>
  </si>
  <si>
    <r>
      <t xml:space="preserve">PR – </t>
    </r>
    <r>
      <rPr>
        <sz val="10"/>
        <color indexed="59"/>
        <rFont val="Arial"/>
        <family val="2"/>
      </rPr>
      <t>рустикальная</t>
    </r>
  </si>
  <si>
    <r>
      <t xml:space="preserve">SM – </t>
    </r>
    <r>
      <rPr>
        <sz val="10"/>
        <color indexed="59"/>
        <rFont val="Arial"/>
        <family val="2"/>
      </rPr>
      <t>полуматовая</t>
    </r>
  </si>
  <si>
    <r>
      <t xml:space="preserve">SQ – </t>
    </r>
    <r>
      <rPr>
        <sz val="10"/>
        <color indexed="59"/>
        <rFont val="Arial"/>
        <family val="2"/>
      </rPr>
      <t xml:space="preserve">глянец </t>
    </r>
  </si>
  <si>
    <t>СОДЕРЖАНИЕ</t>
  </si>
  <si>
    <t>компакт ламинат KronoCompact</t>
  </si>
  <si>
    <t>компакт ламинат KronoSiding</t>
  </si>
  <si>
    <t>пластик HPL</t>
  </si>
  <si>
    <t>курс</t>
  </si>
  <si>
    <t>Город</t>
  </si>
  <si>
    <t>Адрес</t>
  </si>
  <si>
    <t>Телефоны</t>
  </si>
  <si>
    <t>Карта</t>
  </si>
  <si>
    <t>Киев</t>
  </si>
  <si>
    <t>Карта проезда</t>
  </si>
  <si>
    <t>ул. Молодогвардейская, 7-Б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</si>
  <si>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</si>
  <si>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</si>
  <si>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</si>
  <si>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</si>
  <si>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</si>
  <si>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</si>
  <si>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</si>
  <si>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Кировоград</t>
  </si>
  <si>
    <t>ул. Маланюка, 21-А</t>
  </si>
  <si>
    <t>Луцк</t>
  </si>
  <si>
    <t>Львов</t>
  </si>
  <si>
    <t>ул. Луганская,18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</si>
  <si>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</si>
  <si>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</si>
  <si>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</si>
  <si>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</si>
  <si>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</si>
  <si>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</si>
  <si>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</si>
  <si>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</si>
  <si>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</si>
  <si>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</si>
  <si>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</si>
  <si>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ул. Ильина, 252</t>
  </si>
  <si>
    <t>Цена на материалы в ГРН на дату</t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</si>
  <si>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</si>
  <si>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</si>
  <si>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</si>
  <si>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</si>
  <si>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</si>
  <si>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компакт MultiCore</t>
  </si>
  <si>
    <t xml:space="preserve">Прайс на пластик HPL (производитель Kronospan) </t>
  </si>
  <si>
    <t>декоры:</t>
  </si>
  <si>
    <t>металик</t>
  </si>
  <si>
    <t>multicor</t>
  </si>
  <si>
    <t>Коды декоров по ценовым группам:</t>
  </si>
  <si>
    <t>фантазийные</t>
  </si>
  <si>
    <t>Multicor</t>
  </si>
  <si>
    <r>
      <t xml:space="preserve">возможность заказывать </t>
    </r>
    <r>
      <rPr>
        <b/>
        <sz val="11"/>
        <color indexed="18"/>
        <rFont val="Arial Cyr"/>
        <family val="0"/>
      </rPr>
      <t>от 1 листа,</t>
    </r>
    <r>
      <rPr>
        <sz val="11"/>
        <color indexed="18"/>
        <rFont val="Arial Cyr"/>
        <family val="0"/>
      </rPr>
      <t xml:space="preserve"> толщина </t>
    </r>
    <r>
      <rPr>
        <b/>
        <sz val="11"/>
        <color indexed="18"/>
        <rFont val="Arial Cyr"/>
        <family val="0"/>
      </rPr>
      <t>0,8 мм</t>
    </r>
    <r>
      <rPr>
        <sz val="11"/>
        <color indexed="18"/>
        <rFont val="Arial Cyr"/>
        <family val="0"/>
      </rPr>
      <t xml:space="preserve">, </t>
    </r>
    <r>
      <rPr>
        <b/>
        <sz val="11"/>
        <color indexed="18"/>
        <rFont val="Arial Cyr"/>
        <family val="0"/>
      </rPr>
      <t>стандарт</t>
    </r>
  </si>
  <si>
    <t>пластик HPL от 1 листа</t>
  </si>
  <si>
    <t>минимальный заказ - 50-100 листов в одном декоре и текстуре</t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</si>
  <si>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</si>
  <si>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</si>
  <si>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</si>
  <si>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</si>
  <si>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</si>
  <si>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</si>
  <si>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r>
      <t xml:space="preserve">для структуры поверхности SQ (глянец) надбавка </t>
    </r>
    <r>
      <rPr>
        <b/>
        <sz val="10"/>
        <color indexed="59"/>
        <rFont val="Arial"/>
        <family val="2"/>
      </rPr>
      <t>10%</t>
    </r>
    <r>
      <rPr>
        <sz val="10"/>
        <color indexed="59"/>
        <rFont val="Arial"/>
        <family val="2"/>
      </rPr>
      <t xml:space="preserve"> к розничной цене</t>
    </r>
  </si>
  <si>
    <t>просп. Московский, 91</t>
  </si>
  <si>
    <t>ул. Ровенская, 76-А</t>
  </si>
  <si>
    <t>ул. Нефтяников, 2-А</t>
  </si>
  <si>
    <t>декор</t>
  </si>
  <si>
    <r>
      <t xml:space="preserve">Г1 </t>
    </r>
    <r>
      <rPr>
        <b/>
        <sz val="10"/>
        <color indexed="18"/>
        <rFont val="Arial Cyr"/>
        <family val="0"/>
      </rPr>
      <t>(трудногорючий)</t>
    </r>
  </si>
  <si>
    <t>однотонный</t>
  </si>
  <si>
    <t>древесный</t>
  </si>
  <si>
    <t>однотонный интенсивный, фантазийный</t>
  </si>
  <si>
    <t>защитная пленка за кв. м с одной стороны плиты в евро с НДС</t>
  </si>
  <si>
    <t>толщина плиты               1-40 мм</t>
  </si>
  <si>
    <t>толщина                      1-18 мм</t>
  </si>
  <si>
    <t>По запросу можно сделать любой цвет из коллекции Kronoplan Color</t>
  </si>
  <si>
    <t>белый 0101</t>
  </si>
  <si>
    <t>белый 0110</t>
  </si>
  <si>
    <t>Разноцветные</t>
  </si>
  <si>
    <t>Древесные</t>
  </si>
  <si>
    <t>Фантазийные</t>
  </si>
  <si>
    <t>Фантазийные (камень)</t>
  </si>
  <si>
    <t>текстуры: BS, PE, PR, SM, SU, WO, UE, SN, PW, ML, SQ</t>
  </si>
  <si>
    <t>текстура - SQ, MG                                            (с защитной пленкой)</t>
  </si>
  <si>
    <t>Размеры листов</t>
  </si>
  <si>
    <t>Текстура SN, PW, ML, SG</t>
  </si>
  <si>
    <t xml:space="preserve">Текстура SQ, MG, SM, PE (CR), BS, WO, RS, UE, SU </t>
  </si>
  <si>
    <t>Мультикор С974 (белый стержень)</t>
  </si>
  <si>
    <t xml:space="preserve">Мультикор С974 (черный стержень) </t>
  </si>
  <si>
    <t>0101</t>
  </si>
  <si>
    <t>0110</t>
  </si>
  <si>
    <t>0112</t>
  </si>
  <si>
    <t>0164</t>
  </si>
  <si>
    <t>0190</t>
  </si>
  <si>
    <t>0514</t>
  </si>
  <si>
    <t>0515</t>
  </si>
  <si>
    <t>0522</t>
  </si>
  <si>
    <t>1700</t>
  </si>
  <si>
    <t>0171</t>
  </si>
  <si>
    <t>0191</t>
  </si>
  <si>
    <t>0197</t>
  </si>
  <si>
    <t>0540</t>
  </si>
  <si>
    <t>0564</t>
  </si>
  <si>
    <t>7031</t>
  </si>
  <si>
    <t>8100</t>
  </si>
  <si>
    <t>8685</t>
  </si>
  <si>
    <t>9569</t>
  </si>
  <si>
    <t>0121</t>
  </si>
  <si>
    <t>0125</t>
  </si>
  <si>
    <t>0132</t>
  </si>
  <si>
    <t>0134</t>
  </si>
  <si>
    <t>0149</t>
  </si>
  <si>
    <t>0162</t>
  </si>
  <si>
    <t>0551</t>
  </si>
  <si>
    <t>0851</t>
  </si>
  <si>
    <t>0859</t>
  </si>
  <si>
    <t>0881</t>
  </si>
  <si>
    <t>7123</t>
  </si>
  <si>
    <t>8533</t>
  </si>
  <si>
    <t>8681</t>
  </si>
  <si>
    <t>0045</t>
  </si>
  <si>
    <t>0088</t>
  </si>
  <si>
    <t>0340</t>
  </si>
  <si>
    <t>0344</t>
  </si>
  <si>
    <t>0375</t>
  </si>
  <si>
    <t>0381</t>
  </si>
  <si>
    <t>0396</t>
  </si>
  <si>
    <t>0637</t>
  </si>
  <si>
    <t>0685</t>
  </si>
  <si>
    <t>0729</t>
  </si>
  <si>
    <t>0740</t>
  </si>
  <si>
    <t>0757</t>
  </si>
  <si>
    <t>0854</t>
  </si>
  <si>
    <t>0876</t>
  </si>
  <si>
    <t>1625</t>
  </si>
  <si>
    <t>1715</t>
  </si>
  <si>
    <t>1758</t>
  </si>
  <si>
    <t>1764</t>
  </si>
  <si>
    <t>1783</t>
  </si>
  <si>
    <t>1792</t>
  </si>
  <si>
    <t>1972</t>
  </si>
  <si>
    <t>5504</t>
  </si>
  <si>
    <t>7935</t>
  </si>
  <si>
    <t>8601</t>
  </si>
  <si>
    <t>8888</t>
  </si>
  <si>
    <t>8921</t>
  </si>
  <si>
    <t>8995</t>
  </si>
  <si>
    <t>9247</t>
  </si>
  <si>
    <t>9462</t>
  </si>
  <si>
    <t>9727</t>
  </si>
  <si>
    <t>9775</t>
  </si>
  <si>
    <t>0775</t>
  </si>
  <si>
    <t>0776</t>
  </si>
  <si>
    <t>1738</t>
  </si>
  <si>
    <t>1795</t>
  </si>
  <si>
    <t>2216</t>
  </si>
  <si>
    <t>5500</t>
  </si>
  <si>
    <t>6597</t>
  </si>
  <si>
    <t>7997</t>
  </si>
  <si>
    <t>7937</t>
  </si>
  <si>
    <t>8425</t>
  </si>
  <si>
    <t>8431</t>
  </si>
  <si>
    <t>8448</t>
  </si>
  <si>
    <t>8503</t>
  </si>
  <si>
    <t>8539</t>
  </si>
  <si>
    <t>8912</t>
  </si>
  <si>
    <t>8953</t>
  </si>
  <si>
    <t>8971</t>
  </si>
  <si>
    <t>9016</t>
  </si>
  <si>
    <t>9285</t>
  </si>
  <si>
    <t>9345</t>
  </si>
  <si>
    <t>9411</t>
  </si>
  <si>
    <t>9455</t>
  </si>
  <si>
    <t>9461</t>
  </si>
  <si>
    <t>9614</t>
  </si>
  <si>
    <t>9678</t>
  </si>
  <si>
    <t>9728</t>
  </si>
  <si>
    <t>9755</t>
  </si>
  <si>
    <t>9763</t>
  </si>
  <si>
    <t>9944</t>
  </si>
  <si>
    <t>К001</t>
  </si>
  <si>
    <t>К002</t>
  </si>
  <si>
    <t>К003</t>
  </si>
  <si>
    <t>К004</t>
  </si>
  <si>
    <t>К005</t>
  </si>
  <si>
    <t>К006</t>
  </si>
  <si>
    <t>К007</t>
  </si>
  <si>
    <t>К008</t>
  </si>
  <si>
    <t>К009</t>
  </si>
  <si>
    <t>К010</t>
  </si>
  <si>
    <t>К011</t>
  </si>
  <si>
    <t>1786</t>
  </si>
  <si>
    <t>4298</t>
  </si>
  <si>
    <t>4299</t>
  </si>
  <si>
    <t>6172</t>
  </si>
  <si>
    <t>6521 (0324)</t>
  </si>
  <si>
    <t>7648</t>
  </si>
  <si>
    <t>8409</t>
  </si>
  <si>
    <t>8410</t>
  </si>
  <si>
    <t>8508</t>
  </si>
  <si>
    <t>8509</t>
  </si>
  <si>
    <t>8510</t>
  </si>
  <si>
    <t>8511</t>
  </si>
  <si>
    <t>8545</t>
  </si>
  <si>
    <t>8547</t>
  </si>
  <si>
    <t>8548</t>
  </si>
  <si>
    <t>8656</t>
  </si>
  <si>
    <t>8657</t>
  </si>
  <si>
    <t>8754</t>
  </si>
  <si>
    <t>8819</t>
  </si>
  <si>
    <t>8913</t>
  </si>
  <si>
    <t>9829</t>
  </si>
  <si>
    <t>J602</t>
  </si>
  <si>
    <t>фантазийные КАМЕНЬ</t>
  </si>
  <si>
    <t>0288</t>
  </si>
  <si>
    <t>0906</t>
  </si>
  <si>
    <t>0994</t>
  </si>
  <si>
    <t>1702</t>
  </si>
  <si>
    <t>1947</t>
  </si>
  <si>
    <t>2939</t>
  </si>
  <si>
    <t>3167</t>
  </si>
  <si>
    <t>4272</t>
  </si>
  <si>
    <t>4300</t>
  </si>
  <si>
    <t>5501</t>
  </si>
  <si>
    <t>5502</t>
  </si>
  <si>
    <t>5503</t>
  </si>
  <si>
    <t>5522</t>
  </si>
  <si>
    <t>5523</t>
  </si>
  <si>
    <t>5526</t>
  </si>
  <si>
    <t>5527</t>
  </si>
  <si>
    <t>5528</t>
  </si>
  <si>
    <t>5530</t>
  </si>
  <si>
    <t>6117</t>
  </si>
  <si>
    <t>6118</t>
  </si>
  <si>
    <t>6177</t>
  </si>
  <si>
    <t>6522</t>
  </si>
  <si>
    <t>6523</t>
  </si>
  <si>
    <t>7437</t>
  </si>
  <si>
    <t>8317</t>
  </si>
  <si>
    <t>8318</t>
  </si>
  <si>
    <t>8326</t>
  </si>
  <si>
    <t>8416</t>
  </si>
  <si>
    <t>А244</t>
  </si>
  <si>
    <t xml:space="preserve">C974 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</si>
  <si>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ГРИВНАХ</t>
    </r>
    <r>
      <rPr>
        <sz val="10"/>
        <color indexed="59"/>
        <rFont val="Arial"/>
        <family val="2"/>
      </rPr>
      <t xml:space="preserve"> с НДС</t>
    </r>
  </si>
  <si>
    <r>
      <t xml:space="preserve">Цены указаны в </t>
    </r>
    <r>
      <rPr>
        <b/>
        <sz val="10"/>
        <color indexed="59"/>
        <rFont val="Arial Cyr"/>
        <family val="0"/>
      </rPr>
      <t>ГРИВНАХ</t>
    </r>
    <r>
      <rPr>
        <sz val="10"/>
        <color indexed="59"/>
        <rFont val="Arial Cyr"/>
        <family val="2"/>
      </rPr>
      <t xml:space="preserve"> за </t>
    </r>
    <r>
      <rPr>
        <b/>
        <sz val="10"/>
        <color indexed="59"/>
        <rFont val="Arial Cyr"/>
        <family val="0"/>
      </rPr>
      <t>кв м</t>
    </r>
    <r>
      <rPr>
        <sz val="10"/>
        <color indexed="59"/>
        <rFont val="Arial Cyr"/>
        <family val="2"/>
      </rPr>
      <t>, с НДС</t>
    </r>
  </si>
  <si>
    <t>тел.: 0 (44) 201 15 40 - отдел продаж</t>
  </si>
  <si>
    <t>факс: 0 (44) 201 15 49, 48</t>
  </si>
  <si>
    <t>тел.: 0 (44) 201 15 40</t>
  </si>
  <si>
    <t>Житомир</t>
  </si>
  <si>
    <t>ул. Ватутина, 79</t>
  </si>
  <si>
    <t>тел.: 0 (412) 44-62-60</t>
  </si>
  <si>
    <t>ул. Косиора, 10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</si>
  <si>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</si>
  <si>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</si>
  <si>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</si>
  <si>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</si>
  <si>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</si>
  <si>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</si>
  <si>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</si>
  <si>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</si>
  <si>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</si>
  <si>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</si>
  <si>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</si>
  <si>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</si>
  <si>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 xml:space="preserve">Прайс на компакт-ламинат с цветным стержнем (производитель Kronospan) </t>
  </si>
  <si>
    <t>KronoCompact</t>
  </si>
  <si>
    <t>HPL</t>
  </si>
  <si>
    <t>Белый, черно-белый, черный  стержень</t>
  </si>
  <si>
    <t>Серый стержень</t>
  </si>
  <si>
    <t>Цвет</t>
  </si>
  <si>
    <t>Черный  стержень</t>
  </si>
  <si>
    <t>Белый стержень</t>
  </si>
  <si>
    <t>2 мм</t>
  </si>
  <si>
    <t>0,8 мм</t>
  </si>
  <si>
    <t>3 мм</t>
  </si>
  <si>
    <t>4 мм</t>
  </si>
  <si>
    <t>6 мм</t>
  </si>
  <si>
    <t>фантазийный</t>
  </si>
  <si>
    <t>8 мм</t>
  </si>
  <si>
    <t>1 мм</t>
  </si>
  <si>
    <t>10 мм</t>
  </si>
  <si>
    <t>12 мм</t>
  </si>
  <si>
    <t>13 мм</t>
  </si>
  <si>
    <r>
      <t>Размер листа:</t>
    </r>
    <r>
      <rPr>
        <sz val="10"/>
        <rFont val="Arial Cyr"/>
        <family val="2"/>
      </rPr>
      <t xml:space="preserve"> 1300 х 3050 мм</t>
    </r>
  </si>
  <si>
    <t>Дополнительные стоимости:</t>
  </si>
  <si>
    <t>структура глянец</t>
  </si>
  <si>
    <t>защитная пленка на HPL</t>
  </si>
  <si>
    <t>1 EUR/м2</t>
  </si>
  <si>
    <t>защитнаяпленка на компакт-ламинате</t>
  </si>
  <si>
    <t>1 EUR на каждую сторону/м2</t>
  </si>
  <si>
    <t>ВАЖНО!</t>
  </si>
  <si>
    <t>Минимальный заказ, срок поставки, другие цвета стержня - согласовываются дополнительно.</t>
  </si>
  <si>
    <t>Стоимость кв. м с НДС, в грн</t>
  </si>
  <si>
    <t>в ГРН за кв. м с НДС</t>
  </si>
  <si>
    <t xml:space="preserve">Прайс на пластик HPL трудногорючий (производитель Kronospan) </t>
  </si>
  <si>
    <t>структуры</t>
  </si>
  <si>
    <t>BS, PE, PR, SM</t>
  </si>
  <si>
    <t>фантазийный, однотонный интенсивный</t>
  </si>
  <si>
    <t>Стоимость кв. м с НДС, в ГРН</t>
  </si>
  <si>
    <t>Размеры (необходимо предварительно согласовывать)</t>
  </si>
  <si>
    <t>1320х3050</t>
  </si>
  <si>
    <t>1320х2815</t>
  </si>
  <si>
    <t>2040х5600</t>
  </si>
  <si>
    <t>Структуры:</t>
  </si>
  <si>
    <t>PE</t>
  </si>
  <si>
    <t>PR</t>
  </si>
  <si>
    <t>SM</t>
  </si>
  <si>
    <t>мелкозернистая</t>
  </si>
  <si>
    <t>крупнозернистая</t>
  </si>
  <si>
    <t>рустикальная</t>
  </si>
  <si>
    <t>полуматовая</t>
  </si>
  <si>
    <t>3050*1320*0,8мм</t>
  </si>
  <si>
    <t>2800*1320*0,8мм</t>
  </si>
  <si>
    <t>розница, ГРН с НДС</t>
  </si>
  <si>
    <t>ул. Ленинградская, 68, оф.217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</si>
  <si>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</si>
  <si>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</si>
  <si>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</si>
  <si>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</si>
  <si>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</si>
  <si>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</si>
  <si>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</si>
  <si>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</si>
  <si>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тел.:  0 (57) 750 63 68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</si>
  <si>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</si>
  <si>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</si>
  <si>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</si>
  <si>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</si>
  <si>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</si>
  <si>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</si>
  <si>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</si>
  <si>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</si>
  <si>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</si>
  <si>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</si>
  <si>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</si>
  <si>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Тел.: +995 (32) 224 20 40</t>
  </si>
  <si>
    <t>Тел.: +995 (32) 224 20 40 (4005)</t>
  </si>
  <si>
    <t>Черновцы</t>
  </si>
  <si>
    <t>Тернополь</t>
  </si>
  <si>
    <t xml:space="preserve">ул. Белецкая, 1-А </t>
  </si>
  <si>
    <t>тел.: 0 (352) 42 54 38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</si>
</sst>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[$-422]d\ mmmm\ yyyy&quot; р.&quot;"/>
    <numFmt numFmtId="191" formatCode="#,##0.0"/>
  </numFmts>
  <fonts count="7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9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sz val="10"/>
      <color indexed="18"/>
      <name val="Arial"/>
      <family val="2"/>
    </font>
    <font>
      <u val="single"/>
      <sz val="10"/>
      <color indexed="18"/>
      <name val="Arial Cyr"/>
      <family val="2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 Cyr"/>
      <family val="2"/>
    </font>
    <font>
      <sz val="10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1"/>
      <color indexed="18"/>
      <name val="Arial Cyr"/>
      <family val="2"/>
    </font>
    <font>
      <sz val="11"/>
      <name val="Arial Cyr"/>
      <family val="2"/>
    </font>
    <font>
      <u val="single"/>
      <sz val="11"/>
      <color indexed="12"/>
      <name val="Arial Cyr"/>
      <family val="2"/>
    </font>
    <font>
      <sz val="8"/>
      <name val="Arial Cyr"/>
      <family val="2"/>
    </font>
    <font>
      <sz val="11"/>
      <color indexed="59"/>
      <name val="Times New Roman"/>
      <family val="1"/>
    </font>
    <font>
      <sz val="11"/>
      <color indexed="18"/>
      <name val="Times New Roman"/>
      <family val="1"/>
    </font>
    <font>
      <b/>
      <sz val="11"/>
      <color indexed="59"/>
      <name val="Times New Roman"/>
      <family val="1"/>
    </font>
    <font>
      <sz val="11"/>
      <name val="Times New Roman"/>
      <family val="1"/>
    </font>
    <font>
      <sz val="12"/>
      <color indexed="59"/>
      <name val="Times New Roman"/>
      <family val="1"/>
    </font>
    <font>
      <b/>
      <sz val="22"/>
      <color indexed="18"/>
      <name val="Arial Cyr"/>
      <family val="2"/>
    </font>
    <font>
      <sz val="8"/>
      <color indexed="18"/>
      <name val="Times New Roman"/>
      <family val="1"/>
    </font>
    <font>
      <sz val="14"/>
      <color indexed="18"/>
      <name val="Arial"/>
      <family val="2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0"/>
      <color indexed="8"/>
      <name val="Arial Cyr"/>
      <family val="2"/>
    </font>
    <font>
      <b/>
      <sz val="11"/>
      <color indexed="59"/>
      <name val="Arial"/>
      <family val="2"/>
    </font>
    <font>
      <sz val="11"/>
      <color indexed="5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2"/>
    </font>
    <font>
      <b/>
      <sz val="10"/>
      <name val="Arial Cyr"/>
      <family val="2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b/>
      <sz val="10"/>
      <color indexed="18"/>
      <name val="Arial"/>
      <family val="2"/>
    </font>
    <font>
      <b/>
      <sz val="12"/>
      <color indexed="59"/>
      <name val="Times New Roman"/>
      <family val="1"/>
    </font>
    <font>
      <b/>
      <sz val="8"/>
      <color indexed="18"/>
      <name val="Arial Cyr"/>
      <family val="0"/>
    </font>
    <font>
      <b/>
      <sz val="10"/>
      <color indexed="59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6" borderId="0" applyNumberFormat="0" applyBorder="0" applyAlignment="0" applyProtection="0"/>
  </cellStyleXfs>
  <cellXfs count="274">
    <xf numFmtId="0" fontId="0" fillId="0" borderId="0" xfId="0" applyAlignment="1">
      <alignment/>
    </xf>
    <xf numFmtId="1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7" fillId="0" borderId="0" xfId="43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/>
    </xf>
    <xf numFmtId="14" fontId="24" fillId="0" borderId="0" xfId="0" applyNumberFormat="1" applyFont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43" applyNumberFormat="1" applyFont="1" applyFill="1" applyBorder="1" applyAlignment="1" applyProtection="1">
      <alignment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1" fillId="0" borderId="0" xfId="0" applyFont="1" applyAlignment="1">
      <alignment vertical="center" wrapText="1"/>
    </xf>
    <xf numFmtId="14" fontId="34" fillId="0" borderId="0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/>
    </xf>
    <xf numFmtId="0" fontId="29" fillId="0" borderId="0" xfId="0" applyFont="1" applyBorder="1" applyAlignment="1">
      <alignment/>
    </xf>
    <xf numFmtId="0" fontId="7" fillId="0" borderId="0" xfId="43" applyAlignment="1">
      <alignment/>
    </xf>
    <xf numFmtId="0" fontId="22" fillId="0" borderId="0" xfId="0" applyFont="1" applyBorder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30" fillId="17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18" borderId="0" xfId="0" applyFill="1" applyBorder="1" applyAlignment="1">
      <alignment/>
    </xf>
    <xf numFmtId="14" fontId="56" fillId="0" borderId="0" xfId="0" applyNumberFormat="1" applyFont="1" applyAlignment="1">
      <alignment horizontal="right" vertical="center" wrapText="1"/>
    </xf>
    <xf numFmtId="185" fontId="56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1" xfId="43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7" fillId="0" borderId="11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3" fontId="29" fillId="0" borderId="10" xfId="0" applyNumberFormat="1" applyFont="1" applyFill="1" applyBorder="1" applyAlignment="1">
      <alignment horizontal="center" vertical="center" wrapText="1"/>
    </xf>
    <xf numFmtId="0" fontId="0" fillId="0" borderId="0" xfId="33">
      <alignment/>
      <protection/>
    </xf>
    <xf numFmtId="0" fontId="7" fillId="0" borderId="0" xfId="43" applyNumberFormat="1" applyFont="1" applyFill="1" applyBorder="1" applyAlignment="1" applyProtection="1">
      <alignment/>
      <protection/>
    </xf>
    <xf numFmtId="0" fontId="1" fillId="18" borderId="0" xfId="33" applyFont="1" applyFill="1" applyBorder="1" applyAlignment="1">
      <alignment vertical="top" wrapText="1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1" fillId="18" borderId="11" xfId="33" applyFont="1" applyFill="1" applyBorder="1" applyAlignment="1">
      <alignment vertical="top" wrapText="1"/>
      <protection/>
    </xf>
    <xf numFmtId="0" fontId="1" fillId="18" borderId="12" xfId="33" applyFont="1" applyFill="1" applyBorder="1" applyAlignment="1">
      <alignment vertical="top" wrapText="1"/>
      <protection/>
    </xf>
    <xf numFmtId="0" fontId="1" fillId="18" borderId="13" xfId="33" applyFont="1" applyFill="1" applyBorder="1" applyAlignment="1">
      <alignment vertical="top" wrapText="1"/>
      <protection/>
    </xf>
    <xf numFmtId="0" fontId="1" fillId="18" borderId="14" xfId="33" applyFont="1" applyFill="1" applyBorder="1" applyAlignment="1">
      <alignment vertical="top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5" fontId="57" fillId="0" borderId="0" xfId="0" applyNumberFormat="1" applyFont="1" applyAlignment="1">
      <alignment horizontal="right" vertical="center" wrapText="1"/>
    </xf>
    <xf numFmtId="0" fontId="1" fillId="18" borderId="15" xfId="33" applyFont="1" applyFill="1" applyBorder="1" applyAlignment="1">
      <alignment vertical="top" wrapText="1"/>
      <protection/>
    </xf>
    <xf numFmtId="0" fontId="1" fillId="18" borderId="16" xfId="33" applyFont="1" applyFill="1" applyBorder="1" applyAlignment="1">
      <alignment vertical="top" wrapText="1"/>
      <protection/>
    </xf>
    <xf numFmtId="0" fontId="1" fillId="18" borderId="13" xfId="33" applyFont="1" applyFill="1" applyBorder="1" applyAlignment="1">
      <alignment horizontal="left" vertical="top" wrapText="1"/>
      <protection/>
    </xf>
    <xf numFmtId="14" fontId="39" fillId="0" borderId="0" xfId="0" applyNumberFormat="1" applyFont="1" applyAlignment="1">
      <alignment horizontal="left" vertical="center" wrapText="1"/>
    </xf>
    <xf numFmtId="191" fontId="29" fillId="0" borderId="10" xfId="0" applyNumberFormat="1" applyFont="1" applyFill="1" applyBorder="1" applyAlignment="1">
      <alignment horizontal="center" vertical="center" wrapText="1"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 vertical="center" wrapText="1"/>
      <protection/>
    </xf>
    <xf numFmtId="0" fontId="59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36" fillId="0" borderId="10" xfId="54" applyFont="1" applyBorder="1" applyAlignment="1">
      <alignment horizontal="center" vertical="center" wrapText="1"/>
      <protection/>
    </xf>
    <xf numFmtId="4" fontId="39" fillId="0" borderId="10" xfId="54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6" fillId="0" borderId="10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/>
    </xf>
    <xf numFmtId="0" fontId="1" fillId="18" borderId="11" xfId="33" applyFont="1" applyFill="1" applyBorder="1" applyAlignment="1">
      <alignment horizontal="left" vertical="top" wrapText="1"/>
      <protection/>
    </xf>
    <xf numFmtId="14" fontId="61" fillId="0" borderId="17" xfId="0" applyNumberFormat="1" applyFont="1" applyBorder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" fontId="62" fillId="0" borderId="18" xfId="0" applyNumberFormat="1" applyFont="1" applyBorder="1" applyAlignment="1">
      <alignment horizontal="center" vertical="center" wrapText="1"/>
    </xf>
    <xf numFmtId="14" fontId="63" fillId="0" borderId="19" xfId="0" applyNumberFormat="1" applyFont="1" applyBorder="1" applyAlignment="1">
      <alignment horizontal="center" vertical="center" wrapText="1"/>
    </xf>
    <xf numFmtId="2" fontId="36" fillId="0" borderId="19" xfId="0" applyNumberFormat="1" applyFont="1" applyBorder="1" applyAlignment="1">
      <alignment horizontal="center" vertical="center" wrapText="1"/>
    </xf>
    <xf numFmtId="2" fontId="36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91" fontId="29" fillId="0" borderId="22" xfId="0" applyNumberFormat="1" applyFont="1" applyFill="1" applyBorder="1" applyAlignment="1">
      <alignment horizontal="center" vertical="center" wrapText="1"/>
    </xf>
    <xf numFmtId="191" fontId="29" fillId="0" borderId="17" xfId="0" applyNumberFormat="1" applyFont="1" applyFill="1" applyBorder="1" applyAlignment="1">
      <alignment horizontal="center" vertical="center" wrapText="1"/>
    </xf>
    <xf numFmtId="191" fontId="29" fillId="0" borderId="18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91" fontId="29" fillId="0" borderId="24" xfId="0" applyNumberFormat="1" applyFont="1" applyFill="1" applyBorder="1" applyAlignment="1">
      <alignment horizontal="center" vertical="center" wrapText="1"/>
    </xf>
    <xf numFmtId="191" fontId="29" fillId="0" borderId="25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191" fontId="29" fillId="0" borderId="27" xfId="0" applyNumberFormat="1" applyFont="1" applyFill="1" applyBorder="1" applyAlignment="1">
      <alignment horizontal="center" vertical="center" wrapText="1"/>
    </xf>
    <xf numFmtId="191" fontId="29" fillId="0" borderId="19" xfId="0" applyNumberFormat="1" applyFont="1" applyFill="1" applyBorder="1" applyAlignment="1">
      <alignment horizontal="center" vertical="center" wrapText="1"/>
    </xf>
    <xf numFmtId="191" fontId="29" fillId="0" borderId="2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2" fontId="25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14" fontId="29" fillId="0" borderId="0" xfId="54" applyNumberFormat="1" applyFont="1" applyFill="1" applyAlignment="1">
      <alignment horizontal="center"/>
      <protection/>
    </xf>
    <xf numFmtId="0" fontId="59" fillId="0" borderId="0" xfId="54" applyFont="1" applyFill="1" applyAlignment="1">
      <alignment horizontal="center"/>
      <protection/>
    </xf>
    <xf numFmtId="0" fontId="7" fillId="0" borderId="0" xfId="43" applyFill="1" applyAlignment="1">
      <alignment/>
    </xf>
    <xf numFmtId="0" fontId="29" fillId="0" borderId="0" xfId="54" applyFont="1" applyFill="1">
      <alignment/>
      <protection/>
    </xf>
    <xf numFmtId="0" fontId="29" fillId="0" borderId="0" xfId="54" applyFont="1" applyFill="1" applyAlignment="1">
      <alignment horizontal="center"/>
      <protection/>
    </xf>
    <xf numFmtId="0" fontId="29" fillId="0" borderId="0" xfId="54" applyFont="1" applyFill="1" applyAlignment="1">
      <alignment horizontal="center" vertical="center" wrapText="1"/>
      <protection/>
    </xf>
    <xf numFmtId="0" fontId="36" fillId="0" borderId="10" xfId="54" applyFont="1" applyFill="1" applyBorder="1" applyAlignment="1">
      <alignment horizontal="center" vertical="center" wrapText="1"/>
      <protection/>
    </xf>
    <xf numFmtId="0" fontId="65" fillId="0" borderId="1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>
      <alignment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4" fontId="39" fillId="0" borderId="10" xfId="54" applyNumberFormat="1" applyFont="1" applyFill="1" applyBorder="1" applyAlignment="1">
      <alignment horizontal="center" vertical="center" wrapText="1"/>
      <protection/>
    </xf>
    <xf numFmtId="4" fontId="39" fillId="0" borderId="0" xfId="54" applyNumberFormat="1" applyFont="1" applyFill="1" applyBorder="1" applyAlignment="1">
      <alignment horizontal="center" vertical="center" wrapText="1"/>
      <protection/>
    </xf>
    <xf numFmtId="4" fontId="39" fillId="0" borderId="0" xfId="54" applyNumberFormat="1" applyFont="1" applyBorder="1" applyAlignment="1">
      <alignment horizontal="center" vertical="center" wrapText="1"/>
      <protection/>
    </xf>
    <xf numFmtId="0" fontId="29" fillId="0" borderId="0" xfId="54" applyFont="1" applyBorder="1">
      <alignment/>
      <protection/>
    </xf>
    <xf numFmtId="0" fontId="36" fillId="0" borderId="0" xfId="54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1" fillId="18" borderId="15" xfId="33" applyFont="1" applyFill="1" applyBorder="1" applyAlignment="1">
      <alignment horizontal="left" vertical="top" wrapText="1"/>
      <protection/>
    </xf>
    <xf numFmtId="0" fontId="0" fillId="18" borderId="0" xfId="33" applyFill="1" applyAlignment="1">
      <alignment horizontal="center"/>
      <protection/>
    </xf>
    <xf numFmtId="0" fontId="1" fillId="18" borderId="16" xfId="33" applyFont="1" applyFill="1" applyBorder="1" applyAlignment="1">
      <alignment horizontal="left" vertical="top" wrapText="1"/>
      <protection/>
    </xf>
    <xf numFmtId="0" fontId="7" fillId="0" borderId="0" xfId="43" applyFont="1" applyAlignment="1">
      <alignment horizontal="center"/>
    </xf>
    <xf numFmtId="0" fontId="0" fillId="18" borderId="10" xfId="33" applyFont="1" applyFill="1" applyBorder="1">
      <alignment/>
      <protection/>
    </xf>
    <xf numFmtId="0" fontId="7" fillId="18" borderId="10" xfId="43" applyNumberFormat="1" applyFont="1" applyFill="1" applyBorder="1" applyAlignment="1" applyProtection="1">
      <alignment horizontal="center" vertical="center" wrapText="1"/>
      <protection/>
    </xf>
    <xf numFmtId="0" fontId="0" fillId="18" borderId="0" xfId="33" applyFill="1">
      <alignment/>
      <protection/>
    </xf>
    <xf numFmtId="0" fontId="7" fillId="0" borderId="0" xfId="43" applyNumberFormat="1" applyFont="1" applyFill="1" applyBorder="1" applyAlignment="1" applyProtection="1">
      <alignment horizontal="center"/>
      <protection/>
    </xf>
    <xf numFmtId="0" fontId="38" fillId="0" borderId="0" xfId="54" applyFont="1" applyFill="1" applyBorder="1" applyAlignment="1">
      <alignment vertical="center" wrapText="1"/>
      <protection/>
    </xf>
    <xf numFmtId="0" fontId="38" fillId="0" borderId="23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39" fillId="0" borderId="28" xfId="54" applyNumberFormat="1" applyFont="1" applyFill="1" applyBorder="1" applyAlignment="1">
      <alignment horizontal="center" vertical="center" wrapText="1"/>
      <protection/>
    </xf>
    <xf numFmtId="4" fontId="39" fillId="0" borderId="23" xfId="54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9" fontId="0" fillId="0" borderId="0" xfId="0" applyNumberFormat="1" applyAlignment="1">
      <alignment/>
    </xf>
    <xf numFmtId="0" fontId="69" fillId="0" borderId="0" xfId="0" applyFont="1" applyAlignment="1">
      <alignment/>
    </xf>
    <xf numFmtId="0" fontId="59" fillId="0" borderId="0" xfId="54" applyFont="1" applyAlignment="1">
      <alignment wrapText="1"/>
      <protection/>
    </xf>
    <xf numFmtId="0" fontId="36" fillId="1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40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70" fillId="19" borderId="29" xfId="33" applyFont="1" applyFill="1" applyBorder="1" applyAlignment="1">
      <alignment horizontal="center" vertical="center"/>
      <protection/>
    </xf>
    <xf numFmtId="0" fontId="70" fillId="19" borderId="30" xfId="33" applyFont="1" applyFill="1" applyBorder="1" applyAlignment="1">
      <alignment horizontal="center" vertical="center"/>
      <protection/>
    </xf>
    <xf numFmtId="0" fontId="7" fillId="18" borderId="11" xfId="43" applyNumberFormat="1" applyFill="1" applyBorder="1" applyAlignment="1" applyProtection="1">
      <alignment horizontal="center" vertical="center" wrapText="1"/>
      <protection/>
    </xf>
    <xf numFmtId="0" fontId="7" fillId="18" borderId="31" xfId="43" applyNumberFormat="1" applyFill="1" applyBorder="1" applyAlignment="1" applyProtection="1">
      <alignment horizontal="center" vertical="center" wrapText="1"/>
      <protection/>
    </xf>
    <xf numFmtId="0" fontId="1" fillId="18" borderId="10" xfId="33" applyFont="1" applyFill="1" applyBorder="1" applyAlignment="1">
      <alignment vertical="top" wrapText="1"/>
      <protection/>
    </xf>
    <xf numFmtId="0" fontId="1" fillId="18" borderId="32" xfId="33" applyFont="1" applyFill="1" applyBorder="1" applyAlignment="1">
      <alignment vertical="top" wrapText="1"/>
      <protection/>
    </xf>
    <xf numFmtId="0" fontId="0" fillId="0" borderId="33" xfId="0" applyBorder="1" applyAlignment="1">
      <alignment vertical="top"/>
    </xf>
    <xf numFmtId="0" fontId="1" fillId="0" borderId="15" xfId="33" applyFont="1" applyFill="1" applyBorder="1" applyAlignment="1">
      <alignment horizontal="left" vertical="top" wrapText="1"/>
      <protection/>
    </xf>
    <xf numFmtId="0" fontId="1" fillId="0" borderId="16" xfId="33" applyFont="1" applyFill="1" applyBorder="1" applyAlignment="1">
      <alignment horizontal="left" vertical="top" wrapText="1"/>
      <protection/>
    </xf>
    <xf numFmtId="0" fontId="1" fillId="0" borderId="34" xfId="33" applyFont="1" applyFill="1" applyBorder="1" applyAlignment="1">
      <alignment horizontal="left" vertical="top" wrapText="1"/>
      <protection/>
    </xf>
    <xf numFmtId="0" fontId="7" fillId="18" borderId="35" xfId="43" applyNumberFormat="1" applyFill="1" applyBorder="1" applyAlignment="1" applyProtection="1">
      <alignment horizontal="center" vertical="center" wrapText="1"/>
      <protection/>
    </xf>
    <xf numFmtId="0" fontId="1" fillId="18" borderId="36" xfId="33" applyFont="1" applyFill="1" applyBorder="1" applyAlignment="1">
      <alignment vertical="top" wrapText="1"/>
      <protection/>
    </xf>
    <xf numFmtId="0" fontId="7" fillId="18" borderId="15" xfId="43" applyNumberFormat="1" applyFill="1" applyBorder="1" applyAlignment="1" applyProtection="1">
      <alignment horizontal="center" vertical="center" wrapText="1"/>
      <protection/>
    </xf>
    <xf numFmtId="0" fontId="0" fillId="20" borderId="10" xfId="33" applyFill="1" applyBorder="1">
      <alignment/>
      <protection/>
    </xf>
    <xf numFmtId="0" fontId="0" fillId="20" borderId="10" xfId="33" applyFont="1" applyFill="1" applyBorder="1">
      <alignment/>
      <protection/>
    </xf>
    <xf numFmtId="0" fontId="7" fillId="18" borderId="10" xfId="43" applyNumberFormat="1" applyFill="1" applyBorder="1" applyAlignment="1" applyProtection="1">
      <alignment horizontal="center" vertical="center" wrapText="1"/>
      <protection/>
    </xf>
    <xf numFmtId="0" fontId="7" fillId="0" borderId="0" xfId="43" applyAlignment="1">
      <alignment horizontal="center"/>
    </xf>
    <xf numFmtId="0" fontId="0" fillId="0" borderId="28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43" applyBorder="1" applyAlignment="1">
      <alignment horizontal="center"/>
    </xf>
    <xf numFmtId="0" fontId="7" fillId="0" borderId="37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34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17" borderId="0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41" fillId="0" borderId="0" xfId="43" applyFont="1" applyAlignment="1">
      <alignment horizontal="center" vertical="center" wrapText="1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43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50" fillId="17" borderId="0" xfId="0" applyFont="1" applyFill="1" applyBorder="1" applyAlignment="1">
      <alignment horizontal="center" vertical="center" wrapText="1"/>
    </xf>
    <xf numFmtId="0" fontId="51" fillId="17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 wrapText="1"/>
    </xf>
    <xf numFmtId="0" fontId="36" fillId="1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0" xfId="0" applyNumberForma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9" fillId="0" borderId="10" xfId="54" applyFont="1" applyBorder="1" applyAlignment="1">
      <alignment horizontal="left" vertical="center" wrapText="1"/>
      <protection/>
    </xf>
    <xf numFmtId="4" fontId="40" fillId="0" borderId="10" xfId="54" applyNumberFormat="1" applyFont="1" applyFill="1" applyBorder="1" applyAlignment="1">
      <alignment horizontal="center" vertical="center" wrapText="1"/>
      <protection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4" borderId="42" xfId="0" applyNumberFormat="1" applyFont="1" applyFill="1" applyBorder="1" applyAlignment="1">
      <alignment horizontal="center" vertical="center" wrapText="1"/>
    </xf>
    <xf numFmtId="0" fontId="36" fillId="4" borderId="43" xfId="0" applyNumberFormat="1" applyFont="1" applyFill="1" applyBorder="1" applyAlignment="1">
      <alignment horizontal="center" vertical="center" wrapText="1"/>
    </xf>
    <xf numFmtId="0" fontId="0" fillId="0" borderId="0" xfId="54" applyAlignment="1">
      <alignment horizontal="center"/>
      <protection/>
    </xf>
    <xf numFmtId="0" fontId="36" fillId="0" borderId="10" xfId="54" applyFont="1" applyFill="1" applyBorder="1" applyAlignment="1">
      <alignment horizontal="center" vertical="center" wrapText="1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59" fillId="0" borderId="0" xfId="54" applyFont="1" applyAlignment="1">
      <alignment horizontal="center"/>
      <protection/>
    </xf>
    <xf numFmtId="0" fontId="39" fillId="0" borderId="0" xfId="54" applyFont="1" applyFill="1" applyAlignment="1">
      <alignment horizontal="left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  <xf numFmtId="4" fontId="39" fillId="0" borderId="10" xfId="54" applyNumberFormat="1" applyFont="1" applyFill="1" applyBorder="1" applyAlignment="1">
      <alignment horizontal="center" vertical="center" wrapText="1"/>
      <protection/>
    </xf>
    <xf numFmtId="0" fontId="59" fillId="0" borderId="0" xfId="54" applyFont="1" applyAlignment="1">
      <alignment horizontal="center" wrapText="1"/>
      <protection/>
    </xf>
    <xf numFmtId="0" fontId="36" fillId="0" borderId="23" xfId="54" applyFont="1" applyFill="1" applyBorder="1" applyAlignment="1">
      <alignment horizontal="center" vertical="center" wrapText="1"/>
      <protection/>
    </xf>
    <xf numFmtId="0" fontId="36" fillId="0" borderId="41" xfId="54" applyFont="1" applyFill="1" applyBorder="1" applyAlignment="1">
      <alignment horizontal="center" vertical="center" wrapText="1"/>
      <protection/>
    </xf>
    <xf numFmtId="0" fontId="38" fillId="0" borderId="44" xfId="54" applyFont="1" applyFill="1" applyBorder="1" applyAlignment="1">
      <alignment horizontal="center" vertical="center" wrapText="1"/>
      <protection/>
    </xf>
    <xf numFmtId="0" fontId="38" fillId="0" borderId="0" xfId="54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7" fillId="21" borderId="10" xfId="0" applyFont="1" applyFill="1" applyBorder="1" applyAlignment="1">
      <alignment horizontal="center" vertical="center" wrapText="1"/>
    </xf>
    <xf numFmtId="0" fontId="67" fillId="18" borderId="23" xfId="33" applyFont="1" applyFill="1" applyBorder="1" applyAlignment="1">
      <alignment horizontal="center"/>
      <protection/>
    </xf>
    <xf numFmtId="0" fontId="67" fillId="18" borderId="41" xfId="33" applyFont="1" applyFill="1" applyBorder="1" applyAlignment="1">
      <alignment horizontal="center"/>
      <protection/>
    </xf>
    <xf numFmtId="0" fontId="67" fillId="18" borderId="28" xfId="33" applyFont="1" applyFill="1" applyBorder="1" applyAlignment="1">
      <alignment horizontal="center"/>
      <protection/>
    </xf>
    <xf numFmtId="0" fontId="0" fillId="18" borderId="0" xfId="33" applyFill="1" applyBorder="1" applyAlignment="1">
      <alignment/>
      <protection/>
    </xf>
    <xf numFmtId="0" fontId="36" fillId="18" borderId="45" xfId="33" applyFont="1" applyFill="1" applyBorder="1" applyAlignment="1">
      <alignment horizontal="center" vertical="center"/>
      <protection/>
    </xf>
    <xf numFmtId="0" fontId="1" fillId="18" borderId="11" xfId="33" applyFont="1" applyFill="1" applyBorder="1" applyAlignment="1">
      <alignment horizontal="left" vertical="top" wrapText="1"/>
      <protection/>
    </xf>
    <xf numFmtId="0" fontId="7" fillId="18" borderId="11" xfId="43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ластик HPL _2014 ценообраз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7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6.jpeg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4</xdr:row>
      <xdr:rowOff>38100</xdr:rowOff>
    </xdr:from>
    <xdr:to>
      <xdr:col>1</xdr:col>
      <xdr:colOff>2533650</xdr:colOff>
      <xdr:row>4</xdr:row>
      <xdr:rowOff>895350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45732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6</xdr:row>
      <xdr:rowOff>57150</xdr:rowOff>
    </xdr:from>
    <xdr:to>
      <xdr:col>1</xdr:col>
      <xdr:colOff>2619375</xdr:colOff>
      <xdr:row>6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6479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7</xdr:row>
      <xdr:rowOff>28575</xdr:rowOff>
    </xdr:from>
    <xdr:to>
      <xdr:col>1</xdr:col>
      <xdr:colOff>2762250</xdr:colOff>
      <xdr:row>8</xdr:row>
      <xdr:rowOff>485775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31813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0</xdr:row>
      <xdr:rowOff>57150</xdr:rowOff>
    </xdr:from>
    <xdr:to>
      <xdr:col>1</xdr:col>
      <xdr:colOff>3476625</xdr:colOff>
      <xdr:row>0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4219575" y="57150"/>
          <a:ext cx="2276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1762125</xdr:colOff>
      <xdr:row>0</xdr:row>
      <xdr:rowOff>476250</xdr:rowOff>
    </xdr:from>
    <xdr:to>
      <xdr:col>1</xdr:col>
      <xdr:colOff>3419475</xdr:colOff>
      <xdr:row>0</xdr:row>
      <xdr:rowOff>733425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4781550" y="47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857250</xdr:colOff>
      <xdr:row>0</xdr:row>
      <xdr:rowOff>266700</xdr:rowOff>
    </xdr:from>
    <xdr:to>
      <xdr:col>1</xdr:col>
      <xdr:colOff>3467100</xdr:colOff>
      <xdr:row>0</xdr:row>
      <xdr:rowOff>476250</xdr:rowOff>
    </xdr:to>
    <xdr:sp>
      <xdr:nvSpPr>
        <xdr:cNvPr id="6" name="Rectangle 12">
          <a:hlinkClick r:id="rId5"/>
        </xdr:cNvPr>
        <xdr:cNvSpPr>
          <a:spLocks/>
        </xdr:cNvSpPr>
      </xdr:nvSpPr>
      <xdr:spPr>
        <a:xfrm>
          <a:off x="3876675" y="2667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Молдoве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600075</xdr:rowOff>
    </xdr:to>
    <xdr:pic>
      <xdr:nvPicPr>
        <xdr:cNvPr id="7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390525</xdr:rowOff>
    </xdr:from>
    <xdr:to>
      <xdr:col>4</xdr:col>
      <xdr:colOff>1095375</xdr:colOff>
      <xdr:row>3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4</xdr:col>
      <xdr:colOff>1304925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4114800" y="38100"/>
          <a:ext cx="2590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1257300</xdr:colOff>
      <xdr:row>0</xdr:row>
      <xdr:rowOff>390525</xdr:rowOff>
    </xdr:from>
    <xdr:to>
      <xdr:col>4</xdr:col>
      <xdr:colOff>1295400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5305425" y="390525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57150</xdr:colOff>
      <xdr:row>0</xdr:row>
      <xdr:rowOff>190500</xdr:rowOff>
    </xdr:from>
    <xdr:to>
      <xdr:col>4</xdr:col>
      <xdr:colOff>1304925</xdr:colOff>
      <xdr:row>0</xdr:row>
      <xdr:rowOff>400050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105275" y="1905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72</xdr:row>
      <xdr:rowOff>161925</xdr:rowOff>
    </xdr:from>
    <xdr:to>
      <xdr:col>4</xdr:col>
      <xdr:colOff>1333500</xdr:colOff>
      <xdr:row>74</xdr:row>
      <xdr:rowOff>133350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573625"/>
          <a:ext cx="6734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0</xdr:row>
      <xdr:rowOff>647700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4038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28575</xdr:rowOff>
    </xdr:from>
    <xdr:to>
      <xdr:col>8</xdr:col>
      <xdr:colOff>733425</xdr:colOff>
      <xdr:row>2</xdr:row>
      <xdr:rowOff>180975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00075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38100</xdr:rowOff>
    </xdr:from>
    <xdr:to>
      <xdr:col>8</xdr:col>
      <xdr:colOff>762000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4086225" y="38100"/>
          <a:ext cx="2619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47625</xdr:colOff>
      <xdr:row>0</xdr:row>
      <xdr:rowOff>342900</xdr:rowOff>
    </xdr:from>
    <xdr:to>
      <xdr:col>8</xdr:col>
      <xdr:colOff>771525</xdr:colOff>
      <xdr:row>0</xdr:row>
      <xdr:rowOff>571500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5305425" y="342900"/>
          <a:ext cx="1409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247650</xdr:colOff>
      <xdr:row>0</xdr:row>
      <xdr:rowOff>171450</xdr:rowOff>
    </xdr:from>
    <xdr:to>
      <xdr:col>8</xdr:col>
      <xdr:colOff>762000</xdr:colOff>
      <xdr:row>0</xdr:row>
      <xdr:rowOff>381000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133850" y="171450"/>
          <a:ext cx="2571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30</xdr:row>
      <xdr:rowOff>228600</xdr:rowOff>
    </xdr:from>
    <xdr:to>
      <xdr:col>8</xdr:col>
      <xdr:colOff>809625</xdr:colOff>
      <xdr:row>31</xdr:row>
      <xdr:rowOff>142875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181975"/>
          <a:ext cx="6753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0</xdr:row>
      <xdr:rowOff>523875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247650</xdr:rowOff>
    </xdr:from>
    <xdr:to>
      <xdr:col>8</xdr:col>
      <xdr:colOff>895350</xdr:colOff>
      <xdr:row>4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477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0</xdr:row>
      <xdr:rowOff>19050</xdr:rowOff>
    </xdr:from>
    <xdr:to>
      <xdr:col>8</xdr:col>
      <xdr:colOff>885825</xdr:colOff>
      <xdr:row>0</xdr:row>
      <xdr:rowOff>190500</xdr:rowOff>
    </xdr:to>
    <xdr:sp>
      <xdr:nvSpPr>
        <xdr:cNvPr id="2" name="Rectangle 13"/>
        <xdr:cNvSpPr>
          <a:spLocks/>
        </xdr:cNvSpPr>
      </xdr:nvSpPr>
      <xdr:spPr>
        <a:xfrm>
          <a:off x="4019550" y="19050"/>
          <a:ext cx="2266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161925</xdr:colOff>
      <xdr:row>0</xdr:row>
      <xdr:rowOff>352425</xdr:rowOff>
    </xdr:from>
    <xdr:to>
      <xdr:col>8</xdr:col>
      <xdr:colOff>895350</xdr:colOff>
      <xdr:row>0</xdr:row>
      <xdr:rowOff>552450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4924425" y="352425"/>
          <a:ext cx="1371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209550</xdr:colOff>
      <xdr:row>0</xdr:row>
      <xdr:rowOff>152400</xdr:rowOff>
    </xdr:from>
    <xdr:to>
      <xdr:col>8</xdr:col>
      <xdr:colOff>885825</xdr:colOff>
      <xdr:row>0</xdr:row>
      <xdr:rowOff>361950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3695700" y="152400"/>
          <a:ext cx="2590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9</xdr:col>
      <xdr:colOff>0</xdr:colOff>
      <xdr:row>37</xdr:row>
      <xdr:rowOff>133350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077325"/>
          <a:ext cx="6343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561975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95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180975</xdr:rowOff>
    </xdr:from>
    <xdr:to>
      <xdr:col>9</xdr:col>
      <xdr:colOff>714375</xdr:colOff>
      <xdr:row>0</xdr:row>
      <xdr:rowOff>390525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6467475" y="180975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>
    <xdr:from>
      <xdr:col>6</xdr:col>
      <xdr:colOff>657225</xdr:colOff>
      <xdr:row>0</xdr:row>
      <xdr:rowOff>28575</xdr:rowOff>
    </xdr:from>
    <xdr:to>
      <xdr:col>9</xdr:col>
      <xdr:colOff>714375</xdr:colOff>
      <xdr:row>0</xdr:row>
      <xdr:rowOff>190500</xdr:rowOff>
    </xdr:to>
    <xdr:sp>
      <xdr:nvSpPr>
        <xdr:cNvPr id="2" name="Rectangle 13"/>
        <xdr:cNvSpPr>
          <a:spLocks/>
        </xdr:cNvSpPr>
      </xdr:nvSpPr>
      <xdr:spPr>
        <a:xfrm>
          <a:off x="6429375" y="28575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8</xdr:col>
      <xdr:colOff>104775</xdr:colOff>
      <xdr:row>0</xdr:row>
      <xdr:rowOff>400050</xdr:rowOff>
    </xdr:from>
    <xdr:to>
      <xdr:col>9</xdr:col>
      <xdr:colOff>714375</xdr:colOff>
      <xdr:row>0</xdr:row>
      <xdr:rowOff>600075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7686675" y="400050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49</xdr:row>
      <xdr:rowOff>161925</xdr:rowOff>
    </xdr:from>
    <xdr:to>
      <xdr:col>10</xdr:col>
      <xdr:colOff>9525</xdr:colOff>
      <xdr:row>51</xdr:row>
      <xdr:rowOff>28575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468600"/>
          <a:ext cx="9134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638175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0</xdr:row>
      <xdr:rowOff>647700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0</xdr:row>
      <xdr:rowOff>38100</xdr:rowOff>
    </xdr:from>
    <xdr:to>
      <xdr:col>3</xdr:col>
      <xdr:colOff>1343025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3943350" y="38100"/>
          <a:ext cx="3124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1647825</xdr:colOff>
      <xdr:row>0</xdr:row>
      <xdr:rowOff>409575</xdr:rowOff>
    </xdr:from>
    <xdr:to>
      <xdr:col>3</xdr:col>
      <xdr:colOff>1323975</xdr:colOff>
      <xdr:row>0</xdr:row>
      <xdr:rowOff>676275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600700" y="409575"/>
          <a:ext cx="1447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9525</xdr:colOff>
      <xdr:row>35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4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676275</xdr:rowOff>
    </xdr:from>
    <xdr:to>
      <xdr:col>2</xdr:col>
      <xdr:colOff>828675</xdr:colOff>
      <xdr:row>0</xdr:row>
      <xdr:rowOff>676275</xdr:rowOff>
    </xdr:to>
    <xdr:sp>
      <xdr:nvSpPr>
        <xdr:cNvPr id="4" name="Rectangle 53"/>
        <xdr:cNvSpPr>
          <a:spLocks/>
        </xdr:cNvSpPr>
      </xdr:nvSpPr>
      <xdr:spPr>
        <a:xfrm>
          <a:off x="1971675" y="6762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495300</xdr:colOff>
      <xdr:row>0</xdr:row>
      <xdr:rowOff>209550</xdr:rowOff>
    </xdr:from>
    <xdr:to>
      <xdr:col>3</xdr:col>
      <xdr:colOff>1323975</xdr:colOff>
      <xdr:row>0</xdr:row>
      <xdr:rowOff>419100</xdr:rowOff>
    </xdr:to>
    <xdr:sp>
      <xdr:nvSpPr>
        <xdr:cNvPr id="5" name="Rectangle 12">
          <a:hlinkClick r:id="rId3"/>
        </xdr:cNvPr>
        <xdr:cNvSpPr>
          <a:spLocks/>
        </xdr:cNvSpPr>
      </xdr:nvSpPr>
      <xdr:spPr>
        <a:xfrm>
          <a:off x="4448175" y="20955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9525</xdr:colOff>
      <xdr:row>36</xdr:row>
      <xdr:rowOff>19050</xdr:rowOff>
    </xdr:from>
    <xdr:to>
      <xdr:col>4</xdr:col>
      <xdr:colOff>9525</xdr:colOff>
      <xdr:row>36</xdr:row>
      <xdr:rowOff>161925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724650"/>
          <a:ext cx="7115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2571750</xdr:colOff>
      <xdr:row>0</xdr:row>
      <xdr:rowOff>628650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3924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docs\desktop\&#1052;&#1086;&#1080;%20&#1076;&#1086;&#1082;&#1091;&#1084;&#1077;&#1085;&#1090;&#1099;\&#1044;&#1054;&#1052;\&#1056;&#1086;&#1079;&#1085;&#1080;&#1095;&#1085;&#1099;&#1077;%20&#1087;&#1088;&#1072;&#1081;&#1089;&#1099;\&#1042;%20&#1077;&#1074;&#1088;&#1086;\03_09_15_Plastics_KRONO_&#1045;&#1042;&#1056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KronoCompact"/>
      <sheetName val="KronoSiding"/>
      <sheetName val="пластик HPL"/>
      <sheetName val="Мультикор"/>
      <sheetName val="HPL_от 1 листа_Express"/>
      <sheetName val="Контакты"/>
      <sheetName val="KronoPlan"/>
      <sheetName val="HPL_от 1 листа"/>
    </sheetNames>
    <sheetDataSet>
      <sheetData sheetId="0">
        <row r="134">
          <cell r="B1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hyperlink" Target="http://plastics.ua/dom/info/actions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maps.google.com.ua/maps?f=q&amp;source=s_q&amp;hl=uk&amp;geocode=&amp;q=&#1076;&#1085;&#1110;&#1087;&#1088;&#1086;&#1087;&#1077;&#1090;&#1088;&#1086;&#1074;&#1089;&#1100;&#1082;+&#1083;&#1077;&#1085;&#1110;&#1085;&#1075;&#1088;&#1072;&#1076;&#1089;&#1100;&#1082;&#1072;+68&amp;sll=49.223988,28.427124&amp;sspn=0.016116,0.033045&amp;ie=UTF8&amp;hq=&amp;hnear=68,+&#1051;&#1077;&#1085;&#1110;&#1085;&#1075;&#1088;&#1072;&#1076;&#1089;&#1100;&#1082;&#1072;+&#1074;&#1091;&#1083;.,+&#1044;&#1085;&#1110;&#1087;&#1088;&#1086;&#1087;&#1077;&#1090;&#1088;&#1086;&#1074;&#1089;&#1100;&#1082;,+&#1044;&#1085;&#1110;&#1087;&#1088;&#1086;&#1087;&#1077;&#1090;&#1088;&#1086;&#1074;&#1089;&#1100;&#1082;&#1072;+&#1086;&#1073;&#1083;&#1072;&#1089;&#1090;&#1100;&amp;z=16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Lviv-Map.png" TargetMode="External" /><Relationship Id="rId9" Type="http://schemas.openxmlformats.org/officeDocument/2006/relationships/hyperlink" Target="http://plastics.ua/assets/images/common/maps/Poltava-Map.png" TargetMode="External" /><Relationship Id="rId10" Type="http://schemas.openxmlformats.org/officeDocument/2006/relationships/hyperlink" Target="http://plastics.ua/assets/images/common/maps/Odesa-Map.png" TargetMode="External" /><Relationship Id="rId11" Type="http://schemas.openxmlformats.org/officeDocument/2006/relationships/hyperlink" Target="http://plastics.ua/assets/images/common/maps/Rivne-Map.png" TargetMode="External" /><Relationship Id="rId12" Type="http://schemas.openxmlformats.org/officeDocument/2006/relationships/hyperlink" Target="http://plastics.ua/assets/images/common/maps/Plastics_Adv-Map-Kharkov.jpg" TargetMode="External" /><Relationship Id="rId13" Type="http://schemas.openxmlformats.org/officeDocument/2006/relationships/hyperlink" Target="http://plastics.ua/assets/images/common/maps/Plastics_Adv-Map-Cherson_2.jpg" TargetMode="External" /><Relationship Id="rId14" Type="http://schemas.openxmlformats.org/officeDocument/2006/relationships/hyperlink" Target="http://plastics.ua/assets/images/common/maps/Khmelnitskiy-Map.png" TargetMode="External" /><Relationship Id="rId15" Type="http://schemas.openxmlformats.org/officeDocument/2006/relationships/hyperlink" Target="http://plastics.ua/assets/images/common/maps/Cherkasy-Map.png" TargetMode="External" /><Relationship Id="rId16" Type="http://schemas.openxmlformats.org/officeDocument/2006/relationships/hyperlink" Target="http://plastics.ua/assets/images/common/maps/Dnipropetrovsk-Map.png" TargetMode="External" /><Relationship Id="rId17" Type="http://schemas.openxmlformats.org/officeDocument/2006/relationships/hyperlink" Target="http://plastics.ua/assets/images/common/maps/Plastics_Adv-Map1.jpg" TargetMode="External" /><Relationship Id="rId18" Type="http://schemas.openxmlformats.org/officeDocument/2006/relationships/hyperlink" Target="http://plastics.ua/assets/images/common/maps/Map-Krivoy-Rog-new.jpg" TargetMode="External" /><Relationship Id="rId19" Type="http://schemas.openxmlformats.org/officeDocument/2006/relationships/hyperlink" Target="http://plastics.ua/assets/images/common/maps/Uzhgorod_Bercheni_86.jpg" TargetMode="External" /><Relationship Id="rId20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21" Type="http://schemas.openxmlformats.org/officeDocument/2006/relationships/hyperlink" Target="http://plastics.md/assets/images/common/maps/Plastics_Adv-Maps-Moldova.png" TargetMode="External" /><Relationship Id="rId22" Type="http://schemas.openxmlformats.org/officeDocument/2006/relationships/hyperlink" Target="http://plastics.md/assets/images/md/Plastics_Adv-Maps-Beltsy-MD.jpg" TargetMode="External" /><Relationship Id="rId23" Type="http://schemas.openxmlformats.org/officeDocument/2006/relationships/hyperlink" Target="http://plastics.ge/assets/images/common/maps/Plastics_Adv-Map-GE-2.jpg" TargetMode="External" /><Relationship Id="rId24" Type="http://schemas.openxmlformats.org/officeDocument/2006/relationships/hyperlink" Target="http://plastics.ua/assets/images/common/maps/Zapor_zhzhya-Map.png" TargetMode="External" /><Relationship Id="rId25" Type="http://schemas.openxmlformats.org/officeDocument/2006/relationships/hyperlink" Target="http://plastics.ua/assets/images/common/maps/Plastics_Adv-Map-Zhitomir.jpg" TargetMode="External" /><Relationship Id="rId26" Type="http://schemas.openxmlformats.org/officeDocument/2006/relationships/hyperlink" Target="http://plastics.ua/assets/images/news/main/Karta-proezda-Nikolaev_rus.jpg" TargetMode="External" /><Relationship Id="rId27" Type="http://schemas.openxmlformats.org/officeDocument/2006/relationships/hyperlink" Target="http://plastics.ua/assets/images/common/maps/Adv-Map-Chernovtsy-PLASTICS_ru.jpg" TargetMode="External" /><Relationship Id="rId28" Type="http://schemas.openxmlformats.org/officeDocument/2006/relationships/hyperlink" Target="http://plastics.md/assets/images/md/company/Map-Komrat-md.jpg" TargetMode="External" /><Relationship Id="rId29" Type="http://schemas.openxmlformats.org/officeDocument/2006/relationships/hyperlink" Target="https://goo.gl/maps/twiaTaMGmhn" TargetMode="External" /><Relationship Id="rId30" Type="http://schemas.openxmlformats.org/officeDocument/2006/relationships/drawing" Target="../drawings/drawing8.xml" /><Relationship Id="rId3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F134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39.625" style="0" customWidth="1"/>
    <col min="2" max="2" width="45.75390625" style="0" customWidth="1"/>
  </cols>
  <sheetData>
    <row r="1" spans="1:6" ht="57.75" customHeight="1">
      <c r="A1" s="208"/>
      <c r="B1" s="208"/>
      <c r="C1" s="53"/>
      <c r="D1" s="53"/>
      <c r="E1" s="53"/>
      <c r="F1" s="18"/>
    </row>
    <row r="2" spans="1:6" ht="16.5" customHeight="1">
      <c r="A2" s="79" t="s">
        <v>133</v>
      </c>
      <c r="B2" s="75">
        <v>42989</v>
      </c>
      <c r="F2" s="18"/>
    </row>
    <row r="3" spans="1:6" ht="11.25" customHeight="1">
      <c r="A3" s="54"/>
      <c r="B3" s="55"/>
      <c r="C3" s="56"/>
      <c r="D3" s="56"/>
      <c r="E3" s="18"/>
      <c r="F3" s="18"/>
    </row>
    <row r="4" spans="1:6" ht="26.25" customHeight="1">
      <c r="A4" s="209" t="s">
        <v>97</v>
      </c>
      <c r="B4" s="209"/>
      <c r="C4" s="56"/>
      <c r="D4" s="56"/>
      <c r="E4" s="18"/>
      <c r="F4" s="18"/>
    </row>
    <row r="5" spans="1:4" ht="72.75" customHeight="1">
      <c r="A5" s="59" t="s">
        <v>98</v>
      </c>
      <c r="B5" s="58"/>
      <c r="C5" s="18"/>
      <c r="D5" s="18"/>
    </row>
    <row r="6" spans="1:4" ht="19.5" customHeight="1">
      <c r="A6" s="57" t="s">
        <v>139</v>
      </c>
      <c r="B6" s="58"/>
      <c r="C6" s="18"/>
      <c r="D6" s="18"/>
    </row>
    <row r="7" spans="1:4" ht="44.25" customHeight="1">
      <c r="A7" s="57" t="s">
        <v>99</v>
      </c>
      <c r="B7" s="193"/>
      <c r="C7" s="18"/>
      <c r="D7" s="18"/>
    </row>
    <row r="8" spans="1:4" ht="44.25" customHeight="1">
      <c r="A8" s="192" t="s">
        <v>100</v>
      </c>
      <c r="B8" s="210"/>
      <c r="C8" s="18"/>
      <c r="D8" s="18"/>
    </row>
    <row r="9" spans="1:4" ht="48.75" customHeight="1">
      <c r="A9" s="192" t="s">
        <v>148</v>
      </c>
      <c r="B9" s="210"/>
      <c r="C9" s="18"/>
      <c r="D9" s="18"/>
    </row>
    <row r="10" spans="1:4" ht="12.75">
      <c r="A10" s="60"/>
      <c r="C10" s="18"/>
      <c r="D10" s="18"/>
    </row>
    <row r="11" spans="1:4" ht="12.75">
      <c r="A11" s="60"/>
      <c r="B11" s="61"/>
      <c r="C11" s="18"/>
      <c r="D11" s="18"/>
    </row>
    <row r="12" spans="3:4" ht="12.75">
      <c r="C12" s="18"/>
      <c r="D12" s="18"/>
    </row>
    <row r="13" spans="3:4" ht="12.75">
      <c r="C13" s="18"/>
      <c r="D13" s="18"/>
    </row>
    <row r="14" spans="3:4" ht="12.75">
      <c r="C14" s="18"/>
      <c r="D14" s="18"/>
    </row>
    <row r="15" spans="3:4" ht="12.75">
      <c r="C15" s="18"/>
      <c r="D15" s="18"/>
    </row>
    <row r="16" spans="3:4" ht="12.75">
      <c r="C16" s="18"/>
      <c r="D16" s="18"/>
    </row>
    <row r="17" spans="3:4" ht="12.75">
      <c r="C17" s="18"/>
      <c r="D17" s="18"/>
    </row>
    <row r="18" spans="3:4" ht="12.75">
      <c r="C18" s="18"/>
      <c r="D18" s="18"/>
    </row>
    <row r="19" spans="3:4" ht="12.75">
      <c r="C19" s="18"/>
      <c r="D19" s="18"/>
    </row>
    <row r="134" spans="1:2" ht="12.75">
      <c r="A134" t="s">
        <v>101</v>
      </c>
      <c r="B134">
        <v>31.4</v>
      </c>
    </row>
  </sheetData>
  <sheetProtection selectLockedCells="1" selectUnlockedCells="1"/>
  <mergeCells count="3">
    <mergeCell ref="A1:B1"/>
    <mergeCell ref="A4:B4"/>
    <mergeCell ref="B8:B9"/>
  </mergeCells>
  <hyperlinks>
    <hyperlink ref="A5" location="KronoCompact!R1C1" display="компакт ламинат KronoCompact"/>
    <hyperlink ref="A8" location="'пластик HPL'!A1" display="пластик HPL"/>
    <hyperlink ref="A7" location="KronoSiding!R1C1" display="компакт ламинат KronoSiding"/>
    <hyperlink ref="A6" location="MultiCore!R1C1" display="компакт MultiCore"/>
    <hyperlink ref="A9" location="'HPL_от 1 листа'!R1C1" display="пластик HPL от 1 листа"/>
  </hyperlinks>
  <printOptions/>
  <pageMargins left="0.9097222222222222" right="0.42" top="1.25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K79"/>
  <sheetViews>
    <sheetView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18.375" style="31" customWidth="1"/>
    <col min="2" max="2" width="17.00390625" style="23" customWidth="1"/>
    <col min="3" max="5" width="17.75390625" style="23" customWidth="1"/>
    <col min="6" max="6" width="15.75390625" style="23" customWidth="1"/>
    <col min="7" max="7" width="14.125" style="0" customWidth="1"/>
  </cols>
  <sheetData>
    <row r="1" spans="1:6" ht="51.75" customHeight="1">
      <c r="A1" s="219"/>
      <c r="B1" s="219"/>
      <c r="C1" s="219"/>
      <c r="D1" s="219"/>
      <c r="E1" s="219"/>
      <c r="F1"/>
    </row>
    <row r="2" spans="1:6" ht="36" customHeight="1">
      <c r="A2" s="220" t="s">
        <v>0</v>
      </c>
      <c r="B2" s="220"/>
      <c r="C2" s="220"/>
      <c r="D2" s="220"/>
      <c r="E2" s="219"/>
      <c r="F2"/>
    </row>
    <row r="3" spans="1:6" ht="13.5" customHeight="1">
      <c r="A3" s="221" t="s">
        <v>1</v>
      </c>
      <c r="B3" s="221"/>
      <c r="C3" s="221"/>
      <c r="D3" s="221"/>
      <c r="E3" s="219"/>
      <c r="F3"/>
    </row>
    <row r="4" spans="1:6" ht="26.25" customHeight="1">
      <c r="A4" s="222" t="s">
        <v>2</v>
      </c>
      <c r="B4" s="222"/>
      <c r="C4" s="222"/>
      <c r="D4" s="222"/>
      <c r="E4" s="219"/>
      <c r="F4"/>
    </row>
    <row r="5" spans="1:6" ht="6.75" customHeight="1">
      <c r="A5" s="219"/>
      <c r="B5" s="219"/>
      <c r="C5" s="219"/>
      <c r="D5" s="219"/>
      <c r="E5" s="219"/>
      <c r="F5"/>
    </row>
    <row r="6" spans="1:10" ht="12.75" customHeight="1">
      <c r="A6" s="1">
        <f>Главная!B2</f>
        <v>42989</v>
      </c>
      <c r="B6" s="2"/>
      <c r="C6" s="223" t="s">
        <v>337</v>
      </c>
      <c r="D6" s="223"/>
      <c r="E6" s="223"/>
      <c r="F6" s="4" t="s">
        <v>3</v>
      </c>
      <c r="G6" s="224"/>
      <c r="H6" s="224"/>
      <c r="I6" s="224"/>
      <c r="J6" s="224"/>
    </row>
    <row r="7" spans="1:10" ht="12.75" customHeight="1" thickBot="1">
      <c r="A7" s="6"/>
      <c r="B7" s="2"/>
      <c r="C7" s="2"/>
      <c r="D7" s="3"/>
      <c r="E7" s="3"/>
      <c r="F7" s="4"/>
      <c r="G7" s="5"/>
      <c r="H7" s="5"/>
      <c r="I7" s="5"/>
      <c r="J7" s="5"/>
    </row>
    <row r="8" spans="1:11" s="10" customFormat="1" ht="17.25" customHeight="1">
      <c r="A8" s="203" t="s">
        <v>160</v>
      </c>
      <c r="B8" s="104" t="s">
        <v>4</v>
      </c>
      <c r="C8" s="105" t="s">
        <v>5</v>
      </c>
      <c r="D8" s="105" t="s">
        <v>6</v>
      </c>
      <c r="E8" s="106" t="s">
        <v>5</v>
      </c>
      <c r="F8" s="7"/>
      <c r="G8" s="8"/>
      <c r="H8" s="9"/>
      <c r="I8" s="9"/>
      <c r="J8" s="9"/>
      <c r="K8" s="9"/>
    </row>
    <row r="9" spans="1:10" s="10" customFormat="1" ht="31.5" customHeight="1" thickBot="1">
      <c r="A9" s="204"/>
      <c r="B9" s="107" t="s">
        <v>7</v>
      </c>
      <c r="C9" s="108" t="s">
        <v>8</v>
      </c>
      <c r="D9" s="108" t="s">
        <v>8</v>
      </c>
      <c r="E9" s="109" t="s">
        <v>161</v>
      </c>
      <c r="F9" s="7"/>
      <c r="G9" s="8"/>
      <c r="H9" s="9"/>
      <c r="I9" s="9"/>
      <c r="J9" s="9"/>
    </row>
    <row r="10" spans="1:11" s="10" customFormat="1" ht="21.75" customHeight="1">
      <c r="A10" s="213" t="s">
        <v>77</v>
      </c>
      <c r="B10" s="110" t="s">
        <v>9</v>
      </c>
      <c r="C10" s="111">
        <f>22*Главная!B134</f>
        <v>690.8</v>
      </c>
      <c r="D10" s="112">
        <f>24*Главная!B134</f>
        <v>753.5999999999999</v>
      </c>
      <c r="E10" s="113">
        <f>27*Главная!B134</f>
        <v>847.8</v>
      </c>
      <c r="F10" s="7"/>
      <c r="G10" s="8"/>
      <c r="H10" s="9"/>
      <c r="I10" s="9"/>
      <c r="J10" s="9"/>
      <c r="K10" s="9"/>
    </row>
    <row r="11" spans="1:11" s="10" customFormat="1" ht="21.75" customHeight="1">
      <c r="A11" s="214"/>
      <c r="B11" s="114" t="s">
        <v>10</v>
      </c>
      <c r="C11" s="115">
        <f>29*Главная!B134</f>
        <v>910.5999999999999</v>
      </c>
      <c r="D11" s="80">
        <f>32*Главная!B134</f>
        <v>1004.8</v>
      </c>
      <c r="E11" s="116">
        <f>37*Главная!B134</f>
        <v>1161.8</v>
      </c>
      <c r="F11" s="7"/>
      <c r="G11" s="8"/>
      <c r="H11" s="9"/>
      <c r="I11" s="9"/>
      <c r="J11" s="9"/>
      <c r="K11" s="9"/>
    </row>
    <row r="12" spans="1:11" s="10" customFormat="1" ht="21.75" customHeight="1">
      <c r="A12" s="214"/>
      <c r="B12" s="114" t="s">
        <v>11</v>
      </c>
      <c r="C12" s="115">
        <f>36*Главная!B134</f>
        <v>1130.3999999999999</v>
      </c>
      <c r="D12" s="80">
        <f>39*Главная!B134</f>
        <v>1224.6</v>
      </c>
      <c r="E12" s="116">
        <f>44*Главная!B134</f>
        <v>1381.6</v>
      </c>
      <c r="F12" s="7"/>
      <c r="G12" s="8"/>
      <c r="H12" s="9"/>
      <c r="I12" s="9"/>
      <c r="J12" s="9"/>
      <c r="K12" s="9"/>
    </row>
    <row r="13" spans="1:11" s="10" customFormat="1" ht="21.75" customHeight="1">
      <c r="A13" s="214"/>
      <c r="B13" s="114" t="s">
        <v>12</v>
      </c>
      <c r="C13" s="115">
        <f>40*Главная!B134</f>
        <v>1256</v>
      </c>
      <c r="D13" s="80">
        <f>45*Главная!B134</f>
        <v>1413</v>
      </c>
      <c r="E13" s="116">
        <f>51*Главная!B134</f>
        <v>1601.3999999999999</v>
      </c>
      <c r="F13" s="7"/>
      <c r="G13" s="8"/>
      <c r="H13" s="9"/>
      <c r="I13" s="9"/>
      <c r="J13" s="9"/>
      <c r="K13" s="9"/>
    </row>
    <row r="14" spans="1:11" s="10" customFormat="1" ht="21.75" customHeight="1">
      <c r="A14" s="214"/>
      <c r="B14" s="114" t="s">
        <v>13</v>
      </c>
      <c r="C14" s="115">
        <f>46*Главная!B134</f>
        <v>1444.3999999999999</v>
      </c>
      <c r="D14" s="80">
        <f>50*Главная!B134</f>
        <v>1570</v>
      </c>
      <c r="E14" s="116">
        <f>57*Главная!B134</f>
        <v>1789.8</v>
      </c>
      <c r="F14" s="7"/>
      <c r="G14" s="8"/>
      <c r="H14" s="9"/>
      <c r="I14" s="9"/>
      <c r="J14" s="9"/>
      <c r="K14" s="9"/>
    </row>
    <row r="15" spans="1:11" s="10" customFormat="1" ht="21.75" customHeight="1">
      <c r="A15" s="214"/>
      <c r="B15" s="114" t="s">
        <v>14</v>
      </c>
      <c r="C15" s="115">
        <f>54*Главная!B134</f>
        <v>1695.6</v>
      </c>
      <c r="D15" s="80">
        <f>60*Главная!B134</f>
        <v>1884</v>
      </c>
      <c r="E15" s="116">
        <f>67*Главная!B134</f>
        <v>2103.7999999999997</v>
      </c>
      <c r="F15" s="7"/>
      <c r="G15" s="8"/>
      <c r="H15" s="9"/>
      <c r="I15" s="9"/>
      <c r="J15" s="9"/>
      <c r="K15" s="9"/>
    </row>
    <row r="16" spans="1:11" s="10" customFormat="1" ht="21.75" customHeight="1">
      <c r="A16" s="214"/>
      <c r="B16" s="117" t="s">
        <v>15</v>
      </c>
      <c r="C16" s="115">
        <f>69*Главная!B134</f>
        <v>2166.6</v>
      </c>
      <c r="D16" s="80">
        <f>75*Главная!B134</f>
        <v>2355</v>
      </c>
      <c r="E16" s="116">
        <f>86*Главная!B134</f>
        <v>2700.4</v>
      </c>
      <c r="F16" s="7"/>
      <c r="G16" s="8"/>
      <c r="H16" s="9"/>
      <c r="I16" s="9"/>
      <c r="J16" s="9"/>
      <c r="K16" s="9"/>
    </row>
    <row r="17" spans="1:11" s="10" customFormat="1" ht="18" customHeight="1">
      <c r="A17" s="214"/>
      <c r="B17" s="114" t="s">
        <v>16</v>
      </c>
      <c r="C17" s="115">
        <f>79*Главная!B134</f>
        <v>2480.6</v>
      </c>
      <c r="D17" s="80">
        <f>87*Главная!B134</f>
        <v>2731.7999999999997</v>
      </c>
      <c r="E17" s="116">
        <f>98*Главная!B134</f>
        <v>3077.2</v>
      </c>
      <c r="F17" s="7"/>
      <c r="G17" s="8"/>
      <c r="H17" s="9"/>
      <c r="I17" s="9"/>
      <c r="J17" s="9"/>
      <c r="K17" s="9"/>
    </row>
    <row r="18" spans="1:11" s="10" customFormat="1" ht="18" customHeight="1">
      <c r="A18" s="214"/>
      <c r="B18" s="114" t="s">
        <v>17</v>
      </c>
      <c r="C18" s="115">
        <f>84*Главная!B134</f>
        <v>2637.6</v>
      </c>
      <c r="D18" s="80">
        <f>93*Главная!B134</f>
        <v>2920.2</v>
      </c>
      <c r="E18" s="116">
        <f>106*Главная!B134</f>
        <v>3328.3999999999996</v>
      </c>
      <c r="F18" s="7"/>
      <c r="G18" s="8"/>
      <c r="H18" s="9"/>
      <c r="I18" s="9"/>
      <c r="J18" s="9"/>
      <c r="K18" s="9"/>
    </row>
    <row r="19" spans="1:11" s="10" customFormat="1" ht="18" customHeight="1">
      <c r="A19" s="214"/>
      <c r="B19" s="114" t="s">
        <v>18</v>
      </c>
      <c r="C19" s="115">
        <f>96*Главная!B134</f>
        <v>3014.3999999999996</v>
      </c>
      <c r="D19" s="80">
        <f>106*Главная!B134</f>
        <v>3328.3999999999996</v>
      </c>
      <c r="E19" s="116">
        <f>119*Главная!B134</f>
        <v>3736.6</v>
      </c>
      <c r="F19" s="7"/>
      <c r="G19" s="8"/>
      <c r="H19" s="9"/>
      <c r="I19" s="9"/>
      <c r="J19" s="9"/>
      <c r="K19" s="9"/>
    </row>
    <row r="20" spans="1:11" s="10" customFormat="1" ht="18" customHeight="1">
      <c r="A20" s="214"/>
      <c r="B20" s="114" t="s">
        <v>19</v>
      </c>
      <c r="C20" s="115">
        <f>116*Главная!B134</f>
        <v>3642.3999999999996</v>
      </c>
      <c r="D20" s="80">
        <f>128*Главная!B134</f>
        <v>4019.2</v>
      </c>
      <c r="E20" s="116">
        <f>145*Главная!B134</f>
        <v>4553</v>
      </c>
      <c r="F20" s="7"/>
      <c r="G20" s="8"/>
      <c r="H20" s="9"/>
      <c r="I20" s="9"/>
      <c r="J20" s="9"/>
      <c r="K20" s="9"/>
    </row>
    <row r="21" spans="1:11" s="10" customFormat="1" ht="18" customHeight="1" thickBot="1">
      <c r="A21" s="215"/>
      <c r="B21" s="118" t="s">
        <v>20</v>
      </c>
      <c r="C21" s="119">
        <f>121*Главная!B134</f>
        <v>3799.3999999999996</v>
      </c>
      <c r="D21" s="120">
        <f>134*Главная!B134</f>
        <v>4207.599999999999</v>
      </c>
      <c r="E21" s="121">
        <f>153*Главная!B134</f>
        <v>4804.2</v>
      </c>
      <c r="F21" s="7"/>
      <c r="G21" s="8"/>
      <c r="H21" s="9"/>
      <c r="I21" s="9"/>
      <c r="J21" s="9"/>
      <c r="K21" s="9"/>
    </row>
    <row r="22" spans="1:11" s="10" customFormat="1" ht="18" customHeight="1">
      <c r="A22" s="213" t="s">
        <v>162</v>
      </c>
      <c r="B22" s="110" t="s">
        <v>9</v>
      </c>
      <c r="C22" s="111">
        <f>22.5*Главная!B134</f>
        <v>706.5</v>
      </c>
      <c r="D22" s="112">
        <f>25*Главная!B134</f>
        <v>785</v>
      </c>
      <c r="E22" s="113">
        <f>28*Главная!B134</f>
        <v>879.1999999999999</v>
      </c>
      <c r="F22" s="7"/>
      <c r="G22" s="8"/>
      <c r="H22" s="9"/>
      <c r="I22" s="9"/>
      <c r="J22" s="9"/>
      <c r="K22" s="9"/>
    </row>
    <row r="23" spans="1:11" s="10" customFormat="1" ht="18" customHeight="1">
      <c r="A23" s="214"/>
      <c r="B23" s="114" t="s">
        <v>10</v>
      </c>
      <c r="C23" s="115">
        <f>29.5*Главная!B134</f>
        <v>926.3</v>
      </c>
      <c r="D23" s="80">
        <f>32.5*Главная!B134</f>
        <v>1020.5</v>
      </c>
      <c r="E23" s="116">
        <f>37.5*Главная!B134</f>
        <v>1177.5</v>
      </c>
      <c r="F23" s="7"/>
      <c r="G23" s="8"/>
      <c r="H23" s="9"/>
      <c r="I23" s="9"/>
      <c r="J23" s="9"/>
      <c r="K23" s="9"/>
    </row>
    <row r="24" spans="1:11" s="10" customFormat="1" ht="18" customHeight="1">
      <c r="A24" s="214"/>
      <c r="B24" s="114" t="s">
        <v>11</v>
      </c>
      <c r="C24" s="115">
        <f>36.5*Главная!B134</f>
        <v>1146.1</v>
      </c>
      <c r="D24" s="80">
        <f>39.5*Главная!B134</f>
        <v>1240.3</v>
      </c>
      <c r="E24" s="116">
        <f>45.5*Главная!B134</f>
        <v>1428.7</v>
      </c>
      <c r="F24" s="7"/>
      <c r="G24" s="8"/>
      <c r="H24" s="9"/>
      <c r="I24" s="9"/>
      <c r="J24" s="9"/>
      <c r="K24" s="9"/>
    </row>
    <row r="25" spans="1:11" s="10" customFormat="1" ht="18" customHeight="1">
      <c r="A25" s="214"/>
      <c r="B25" s="114" t="s">
        <v>12</v>
      </c>
      <c r="C25" s="115">
        <f>41*Главная!B134</f>
        <v>1287.3999999999999</v>
      </c>
      <c r="D25" s="80">
        <f>46*Главная!B134</f>
        <v>1444.3999999999999</v>
      </c>
      <c r="E25" s="116">
        <f>52*Главная!B134</f>
        <v>1632.8</v>
      </c>
      <c r="F25" s="7"/>
      <c r="G25" s="8"/>
      <c r="H25" s="9"/>
      <c r="I25" s="9"/>
      <c r="J25" s="9"/>
      <c r="K25" s="9"/>
    </row>
    <row r="26" spans="1:11" s="10" customFormat="1" ht="18" customHeight="1">
      <c r="A26" s="214"/>
      <c r="B26" s="114" t="s">
        <v>13</v>
      </c>
      <c r="C26" s="115">
        <f>47*Главная!B134</f>
        <v>1475.8</v>
      </c>
      <c r="D26" s="80">
        <f>51*Главная!B134</f>
        <v>1601.3999999999999</v>
      </c>
      <c r="E26" s="116">
        <f>58*Главная!B134</f>
        <v>1821.1999999999998</v>
      </c>
      <c r="F26" s="7"/>
      <c r="G26" s="8"/>
      <c r="H26" s="9"/>
      <c r="I26" s="9"/>
      <c r="J26" s="9"/>
      <c r="K26" s="9"/>
    </row>
    <row r="27" spans="1:11" s="10" customFormat="1" ht="18" customHeight="1">
      <c r="A27" s="214"/>
      <c r="B27" s="114" t="s">
        <v>14</v>
      </c>
      <c r="C27" s="115">
        <f>55*Главная!B134</f>
        <v>1727</v>
      </c>
      <c r="D27" s="80">
        <f>61*Главная!B134</f>
        <v>1915.3999999999999</v>
      </c>
      <c r="E27" s="116">
        <f>68*Главная!B134</f>
        <v>2135.2</v>
      </c>
      <c r="F27" s="7"/>
      <c r="G27" s="8"/>
      <c r="H27" s="9"/>
      <c r="I27" s="9"/>
      <c r="J27" s="9"/>
      <c r="K27" s="9"/>
    </row>
    <row r="28" spans="1:11" s="10" customFormat="1" ht="18" customHeight="1">
      <c r="A28" s="214"/>
      <c r="B28" s="117" t="s">
        <v>15</v>
      </c>
      <c r="C28" s="115">
        <f>70*Главная!B134</f>
        <v>2198</v>
      </c>
      <c r="D28" s="80">
        <f>76*Главная!B134</f>
        <v>2386.4</v>
      </c>
      <c r="E28" s="116">
        <f>87*Главная!B134</f>
        <v>2731.7999999999997</v>
      </c>
      <c r="F28" s="7"/>
      <c r="G28" s="8"/>
      <c r="H28" s="9"/>
      <c r="I28" s="9"/>
      <c r="J28" s="9"/>
      <c r="K28" s="9"/>
    </row>
    <row r="29" spans="1:11" s="10" customFormat="1" ht="18" customHeight="1">
      <c r="A29" s="214"/>
      <c r="B29" s="114" t="s">
        <v>16</v>
      </c>
      <c r="C29" s="115">
        <f>80*Главная!B134</f>
        <v>2512</v>
      </c>
      <c r="D29" s="80">
        <f>89*Главная!B134</f>
        <v>2794.6</v>
      </c>
      <c r="E29" s="116">
        <f>99*Главная!B134</f>
        <v>3108.6</v>
      </c>
      <c r="F29" s="7"/>
      <c r="G29" s="8"/>
      <c r="H29" s="9"/>
      <c r="I29" s="9"/>
      <c r="J29" s="9"/>
      <c r="K29" s="9"/>
    </row>
    <row r="30" spans="1:11" s="10" customFormat="1" ht="18" customHeight="1">
      <c r="A30" s="214"/>
      <c r="B30" s="114" t="s">
        <v>17</v>
      </c>
      <c r="C30" s="115">
        <f>85*Главная!B134</f>
        <v>2669</v>
      </c>
      <c r="D30" s="80">
        <f>94*Главная!B134</f>
        <v>2951.6</v>
      </c>
      <c r="E30" s="116">
        <f>107*Главная!B134</f>
        <v>3359.7999999999997</v>
      </c>
      <c r="F30" s="7"/>
      <c r="G30" s="8"/>
      <c r="H30" s="9"/>
      <c r="I30" s="9"/>
      <c r="J30" s="9"/>
      <c r="K30" s="9"/>
    </row>
    <row r="31" spans="1:11" s="10" customFormat="1" ht="18" customHeight="1">
      <c r="A31" s="214"/>
      <c r="B31" s="114" t="s">
        <v>18</v>
      </c>
      <c r="C31" s="115">
        <f>97*Главная!B134</f>
        <v>3045.7999999999997</v>
      </c>
      <c r="D31" s="80">
        <f>108*Главная!B134</f>
        <v>3391.2</v>
      </c>
      <c r="E31" s="116">
        <f>121*Главная!B134</f>
        <v>3799.3999999999996</v>
      </c>
      <c r="F31" s="7"/>
      <c r="G31" s="8"/>
      <c r="H31" s="9"/>
      <c r="I31" s="9"/>
      <c r="J31" s="9"/>
      <c r="K31" s="9"/>
    </row>
    <row r="32" spans="1:11" s="10" customFormat="1" ht="18" customHeight="1">
      <c r="A32" s="214"/>
      <c r="B32" s="114" t="s">
        <v>19</v>
      </c>
      <c r="C32" s="115">
        <f>117*Главная!B134</f>
        <v>3673.7999999999997</v>
      </c>
      <c r="D32" s="80">
        <f>131*Главная!B134</f>
        <v>4113.4</v>
      </c>
      <c r="E32" s="116">
        <f>147*Главная!B134</f>
        <v>4615.8</v>
      </c>
      <c r="F32" s="7"/>
      <c r="G32" s="8"/>
      <c r="H32" s="9"/>
      <c r="I32" s="9"/>
      <c r="J32" s="9"/>
      <c r="K32" s="9"/>
    </row>
    <row r="33" spans="1:11" s="10" customFormat="1" ht="18" customHeight="1" thickBot="1">
      <c r="A33" s="215"/>
      <c r="B33" s="118" t="s">
        <v>20</v>
      </c>
      <c r="C33" s="119">
        <f>122*Главная!B134</f>
        <v>3830.7999999999997</v>
      </c>
      <c r="D33" s="120">
        <f>137*Главная!B134</f>
        <v>4301.8</v>
      </c>
      <c r="E33" s="121">
        <f>155*Главная!B134</f>
        <v>4867</v>
      </c>
      <c r="F33" s="7"/>
      <c r="G33" s="8"/>
      <c r="H33" s="9"/>
      <c r="I33" s="9"/>
      <c r="J33" s="9"/>
      <c r="K33" s="9"/>
    </row>
    <row r="34" spans="1:11" s="10" customFormat="1" ht="18" customHeight="1">
      <c r="A34" s="213" t="s">
        <v>163</v>
      </c>
      <c r="B34" s="110" t="s">
        <v>9</v>
      </c>
      <c r="C34" s="111">
        <f>23*Главная!B134</f>
        <v>722.1999999999999</v>
      </c>
      <c r="D34" s="112">
        <f>26*Главная!B134</f>
        <v>816.4</v>
      </c>
      <c r="E34" s="113">
        <f>29*Главная!B134</f>
        <v>910.5999999999999</v>
      </c>
      <c r="F34" s="7"/>
      <c r="G34" s="8"/>
      <c r="H34" s="9"/>
      <c r="I34" s="9"/>
      <c r="J34" s="9"/>
      <c r="K34" s="9"/>
    </row>
    <row r="35" spans="1:11" s="10" customFormat="1" ht="18" customHeight="1">
      <c r="A35" s="214"/>
      <c r="B35" s="114" t="s">
        <v>10</v>
      </c>
      <c r="C35" s="115">
        <f>30*Главная!B134</f>
        <v>942</v>
      </c>
      <c r="D35" s="80">
        <f>33*Главная!B134</f>
        <v>1036.2</v>
      </c>
      <c r="E35" s="116">
        <f>39*Главная!B134</f>
        <v>1224.6</v>
      </c>
      <c r="F35" s="7"/>
      <c r="G35" s="8"/>
      <c r="H35" s="9"/>
      <c r="I35" s="9"/>
      <c r="J35" s="9"/>
      <c r="K35" s="9"/>
    </row>
    <row r="36" spans="1:11" s="10" customFormat="1" ht="18" customHeight="1">
      <c r="A36" s="214"/>
      <c r="B36" s="114" t="s">
        <v>11</v>
      </c>
      <c r="C36" s="115">
        <f>37*Главная!B134</f>
        <v>1161.8</v>
      </c>
      <c r="D36" s="80">
        <f>40*Главная!B134</f>
        <v>1256</v>
      </c>
      <c r="E36" s="116">
        <f>46*Главная!B134</f>
        <v>1444.3999999999999</v>
      </c>
      <c r="F36" s="7"/>
      <c r="G36" s="8"/>
      <c r="H36" s="9"/>
      <c r="I36" s="9"/>
      <c r="J36" s="9"/>
      <c r="K36" s="9"/>
    </row>
    <row r="37" spans="1:11" s="10" customFormat="1" ht="18" customHeight="1">
      <c r="A37" s="214"/>
      <c r="B37" s="114" t="s">
        <v>12</v>
      </c>
      <c r="C37" s="115">
        <f>42*Главная!B134</f>
        <v>1318.8</v>
      </c>
      <c r="D37" s="80">
        <f>47*Главная!B134</f>
        <v>1475.8</v>
      </c>
      <c r="E37" s="116">
        <f>52*Главная!B134</f>
        <v>1632.8</v>
      </c>
      <c r="F37" s="7"/>
      <c r="G37" s="8"/>
      <c r="H37" s="9"/>
      <c r="I37" s="9"/>
      <c r="J37" s="9"/>
      <c r="K37" s="9"/>
    </row>
    <row r="38" spans="1:11" s="10" customFormat="1" ht="18" customHeight="1">
      <c r="A38" s="214"/>
      <c r="B38" s="114" t="s">
        <v>13</v>
      </c>
      <c r="C38" s="115">
        <f>48*Главная!B134</f>
        <v>1507.1999999999998</v>
      </c>
      <c r="D38" s="80">
        <f>52*Главная!B134</f>
        <v>1632.8</v>
      </c>
      <c r="E38" s="116">
        <f>58*Главная!B134</f>
        <v>1821.1999999999998</v>
      </c>
      <c r="F38" s="7"/>
      <c r="G38" s="8"/>
      <c r="H38" s="9"/>
      <c r="I38" s="9"/>
      <c r="J38" s="9"/>
      <c r="K38" s="9"/>
    </row>
    <row r="39" spans="1:11" s="10" customFormat="1" ht="18" customHeight="1">
      <c r="A39" s="214"/>
      <c r="B39" s="114" t="s">
        <v>14</v>
      </c>
      <c r="C39" s="115">
        <f>56*Главная!B134</f>
        <v>1758.3999999999999</v>
      </c>
      <c r="D39" s="80">
        <f>62*Главная!B134</f>
        <v>1946.8</v>
      </c>
      <c r="E39" s="116">
        <f>68*Главная!B134</f>
        <v>2135.2</v>
      </c>
      <c r="F39" s="7"/>
      <c r="G39" s="8"/>
      <c r="H39" s="9"/>
      <c r="I39" s="9"/>
      <c r="J39" s="9"/>
      <c r="K39" s="9"/>
    </row>
    <row r="40" spans="1:11" s="10" customFormat="1" ht="18" customHeight="1">
      <c r="A40" s="214"/>
      <c r="B40" s="117" t="s">
        <v>15</v>
      </c>
      <c r="C40" s="115">
        <f>71*Главная!B134</f>
        <v>2229.4</v>
      </c>
      <c r="D40" s="80">
        <f>77*Главная!B134</f>
        <v>2417.7999999999997</v>
      </c>
      <c r="E40" s="116">
        <f>87*Главная!B134</f>
        <v>2731.7999999999997</v>
      </c>
      <c r="F40" s="7"/>
      <c r="G40" s="8"/>
      <c r="H40" s="9"/>
      <c r="I40" s="9"/>
      <c r="J40" s="9"/>
      <c r="K40" s="9"/>
    </row>
    <row r="41" spans="1:11" s="10" customFormat="1" ht="18" customHeight="1">
      <c r="A41" s="214"/>
      <c r="B41" s="114" t="s">
        <v>16</v>
      </c>
      <c r="C41" s="115">
        <f>81*Главная!B134</f>
        <v>2543.4</v>
      </c>
      <c r="D41" s="80">
        <f>89*Главная!B134</f>
        <v>2794.6</v>
      </c>
      <c r="E41" s="116">
        <f>99*Главная!B134</f>
        <v>3108.6</v>
      </c>
      <c r="F41" s="7"/>
      <c r="G41" s="8"/>
      <c r="H41" s="9"/>
      <c r="I41" s="9"/>
      <c r="J41" s="9"/>
      <c r="K41" s="9"/>
    </row>
    <row r="42" spans="1:11" s="10" customFormat="1" ht="18" customHeight="1">
      <c r="A42" s="214"/>
      <c r="B42" s="114" t="s">
        <v>17</v>
      </c>
      <c r="C42" s="115">
        <f>87*Главная!B134</f>
        <v>2731.7999999999997</v>
      </c>
      <c r="D42" s="80">
        <f>94*Главная!B134</f>
        <v>2951.6</v>
      </c>
      <c r="E42" s="116">
        <f>107*Главная!B134</f>
        <v>3359.7999999999997</v>
      </c>
      <c r="F42" s="7"/>
      <c r="G42" s="8"/>
      <c r="H42" s="9"/>
      <c r="I42" s="9"/>
      <c r="J42" s="9"/>
      <c r="K42" s="9"/>
    </row>
    <row r="43" spans="1:11" s="10" customFormat="1" ht="18" customHeight="1">
      <c r="A43" s="214"/>
      <c r="B43" s="114" t="s">
        <v>18</v>
      </c>
      <c r="C43" s="115">
        <f>99*Главная!B134</f>
        <v>3108.6</v>
      </c>
      <c r="D43" s="80">
        <f>108*Главная!B134</f>
        <v>3391.2</v>
      </c>
      <c r="E43" s="116">
        <f>121*Главная!B134</f>
        <v>3799.3999999999996</v>
      </c>
      <c r="F43" s="7"/>
      <c r="G43" s="8"/>
      <c r="H43" s="9"/>
      <c r="I43" s="9"/>
      <c r="J43" s="9"/>
      <c r="K43" s="9"/>
    </row>
    <row r="44" spans="1:11" s="10" customFormat="1" ht="18" customHeight="1">
      <c r="A44" s="214"/>
      <c r="B44" s="114" t="s">
        <v>19</v>
      </c>
      <c r="C44" s="115">
        <f>119*Главная!B134</f>
        <v>3736.6</v>
      </c>
      <c r="D44" s="80">
        <f>131*Главная!B134</f>
        <v>4113.4</v>
      </c>
      <c r="E44" s="116">
        <f>147*Главная!B134</f>
        <v>4615.8</v>
      </c>
      <c r="F44" s="7"/>
      <c r="G44" s="8"/>
      <c r="H44" s="9"/>
      <c r="I44" s="9"/>
      <c r="J44" s="9"/>
      <c r="K44" s="9"/>
    </row>
    <row r="45" spans="1:11" s="10" customFormat="1" ht="18" customHeight="1" thickBot="1">
      <c r="A45" s="215"/>
      <c r="B45" s="118" t="s">
        <v>20</v>
      </c>
      <c r="C45" s="119">
        <f>124*Главная!B134</f>
        <v>3893.6</v>
      </c>
      <c r="D45" s="120">
        <f>137*Главная!B134</f>
        <v>4301.8</v>
      </c>
      <c r="E45" s="121">
        <f>155*Главная!B134</f>
        <v>4867</v>
      </c>
      <c r="F45" s="7"/>
      <c r="G45" s="8"/>
      <c r="H45" s="9"/>
      <c r="I45" s="9"/>
      <c r="J45" s="9"/>
      <c r="K45" s="9"/>
    </row>
    <row r="46" spans="1:11" s="10" customFormat="1" ht="18" customHeight="1">
      <c r="A46" s="216" t="s">
        <v>164</v>
      </c>
      <c r="B46" s="110" t="s">
        <v>9</v>
      </c>
      <c r="C46" s="111">
        <f>24*Главная!B134</f>
        <v>753.5999999999999</v>
      </c>
      <c r="D46" s="112">
        <f>26*Главная!B134</f>
        <v>816.4</v>
      </c>
      <c r="E46" s="113">
        <f>30*Главная!B134</f>
        <v>942</v>
      </c>
      <c r="F46" s="7"/>
      <c r="G46" s="8"/>
      <c r="H46" s="9"/>
      <c r="I46" s="9"/>
      <c r="J46" s="9"/>
      <c r="K46" s="9"/>
    </row>
    <row r="47" spans="1:11" s="10" customFormat="1" ht="18" customHeight="1">
      <c r="A47" s="217"/>
      <c r="B47" s="114" t="s">
        <v>10</v>
      </c>
      <c r="C47" s="115">
        <f>31*Главная!B134</f>
        <v>973.4</v>
      </c>
      <c r="D47" s="80">
        <f>34*Главная!B134</f>
        <v>1067.6</v>
      </c>
      <c r="E47" s="116">
        <f>40*Главная!B134</f>
        <v>1256</v>
      </c>
      <c r="F47" s="7"/>
      <c r="G47" s="8"/>
      <c r="H47" s="9"/>
      <c r="I47" s="9"/>
      <c r="J47" s="9"/>
      <c r="K47" s="9"/>
    </row>
    <row r="48" spans="1:11" s="10" customFormat="1" ht="18" customHeight="1">
      <c r="A48" s="217"/>
      <c r="B48" s="114" t="s">
        <v>11</v>
      </c>
      <c r="C48" s="115">
        <f>38*Главная!B134</f>
        <v>1193.2</v>
      </c>
      <c r="D48" s="80">
        <f>41*Главная!B134</f>
        <v>1287.3999999999999</v>
      </c>
      <c r="E48" s="116">
        <f>47*Главная!B134</f>
        <v>1475.8</v>
      </c>
      <c r="F48" s="7"/>
      <c r="G48" s="8"/>
      <c r="H48" s="9"/>
      <c r="I48" s="9"/>
      <c r="J48" s="9"/>
      <c r="K48" s="9"/>
    </row>
    <row r="49" spans="1:11" s="10" customFormat="1" ht="18" customHeight="1">
      <c r="A49" s="217"/>
      <c r="B49" s="114" t="s">
        <v>12</v>
      </c>
      <c r="C49" s="115">
        <f>42*Главная!B134</f>
        <v>1318.8</v>
      </c>
      <c r="D49" s="80">
        <f>48*Главная!B134</f>
        <v>1507.1999999999998</v>
      </c>
      <c r="E49" s="116">
        <f>53*Главная!B134</f>
        <v>1664.1999999999998</v>
      </c>
      <c r="F49" s="7"/>
      <c r="G49" s="8"/>
      <c r="H49" s="9"/>
      <c r="I49" s="9"/>
      <c r="J49" s="9"/>
      <c r="K49" s="9"/>
    </row>
    <row r="50" spans="1:11" s="10" customFormat="1" ht="18" customHeight="1">
      <c r="A50" s="217"/>
      <c r="B50" s="114" t="s">
        <v>13</v>
      </c>
      <c r="C50" s="115">
        <f>49*Главная!B134</f>
        <v>1538.6</v>
      </c>
      <c r="D50" s="80">
        <f>53*Главная!B134</f>
        <v>1664.1999999999998</v>
      </c>
      <c r="E50" s="116">
        <f>59*Главная!B134</f>
        <v>1852.6</v>
      </c>
      <c r="F50" s="7"/>
      <c r="G50" s="8"/>
      <c r="H50" s="9"/>
      <c r="I50" s="9"/>
      <c r="J50" s="9"/>
      <c r="K50" s="9"/>
    </row>
    <row r="51" spans="1:11" s="10" customFormat="1" ht="18" customHeight="1">
      <c r="A51" s="217"/>
      <c r="B51" s="114" t="s">
        <v>14</v>
      </c>
      <c r="C51" s="115">
        <f>57*Главная!B134</f>
        <v>1789.8</v>
      </c>
      <c r="D51" s="80">
        <f>63*Главная!B134</f>
        <v>1978.1999999999998</v>
      </c>
      <c r="E51" s="116">
        <f>69*Главная!B134</f>
        <v>2166.6</v>
      </c>
      <c r="F51" s="7"/>
      <c r="G51" s="8"/>
      <c r="H51" s="9"/>
      <c r="I51" s="9"/>
      <c r="J51" s="9"/>
      <c r="K51" s="9"/>
    </row>
    <row r="52" spans="1:11" s="10" customFormat="1" ht="18" customHeight="1">
      <c r="A52" s="217"/>
      <c r="B52" s="117" t="s">
        <v>15</v>
      </c>
      <c r="C52" s="115">
        <f>72*Главная!B134</f>
        <v>2260.7999999999997</v>
      </c>
      <c r="D52" s="80">
        <f>78*Главная!B134</f>
        <v>2449.2</v>
      </c>
      <c r="E52" s="116">
        <f>88*Главная!B134</f>
        <v>2763.2</v>
      </c>
      <c r="F52" s="7"/>
      <c r="G52" s="8"/>
      <c r="H52" s="9"/>
      <c r="I52" s="9"/>
      <c r="J52" s="9"/>
      <c r="K52" s="9"/>
    </row>
    <row r="53" spans="1:11" s="10" customFormat="1" ht="18" customHeight="1">
      <c r="A53" s="217"/>
      <c r="B53" s="114" t="s">
        <v>16</v>
      </c>
      <c r="C53" s="115">
        <f>82*Главная!B134</f>
        <v>2574.7999999999997</v>
      </c>
      <c r="D53" s="80">
        <f>90*Главная!B134</f>
        <v>2826</v>
      </c>
      <c r="E53" s="116">
        <f>101*Главная!B134</f>
        <v>3171.3999999999996</v>
      </c>
      <c r="F53" s="7"/>
      <c r="G53" s="8"/>
      <c r="H53" s="9"/>
      <c r="I53" s="9"/>
      <c r="J53" s="9"/>
      <c r="K53" s="9"/>
    </row>
    <row r="54" spans="1:11" s="10" customFormat="1" ht="18" customHeight="1">
      <c r="A54" s="217"/>
      <c r="B54" s="114" t="s">
        <v>17</v>
      </c>
      <c r="C54" s="115">
        <f>88*Главная!B134</f>
        <v>2763.2</v>
      </c>
      <c r="D54" s="80">
        <f>95*Главная!B134</f>
        <v>2983</v>
      </c>
      <c r="E54" s="116">
        <f>108*Главная!B134</f>
        <v>3391.2</v>
      </c>
      <c r="F54" s="7"/>
      <c r="G54" s="8"/>
      <c r="H54" s="9"/>
      <c r="I54" s="9"/>
      <c r="J54" s="9"/>
      <c r="K54" s="9"/>
    </row>
    <row r="55" spans="1:11" s="10" customFormat="1" ht="18" customHeight="1">
      <c r="A55" s="217"/>
      <c r="B55" s="114" t="s">
        <v>18</v>
      </c>
      <c r="C55" s="115">
        <f>101*Главная!B134</f>
        <v>3171.3999999999996</v>
      </c>
      <c r="D55" s="80">
        <f>109*Главная!B134</f>
        <v>3422.6</v>
      </c>
      <c r="E55" s="116">
        <f>122*Главная!B134</f>
        <v>3830.7999999999997</v>
      </c>
      <c r="F55" s="7"/>
      <c r="G55" s="8"/>
      <c r="H55" s="9"/>
      <c r="I55" s="9"/>
      <c r="J55" s="9"/>
      <c r="K55" s="9"/>
    </row>
    <row r="56" spans="1:11" s="10" customFormat="1" ht="18" customHeight="1">
      <c r="A56" s="217"/>
      <c r="B56" s="114" t="s">
        <v>19</v>
      </c>
      <c r="C56" s="115">
        <f>121*Главная!B134</f>
        <v>3799.3999999999996</v>
      </c>
      <c r="D56" s="80">
        <f>132*Главная!B134</f>
        <v>4144.8</v>
      </c>
      <c r="E56" s="116">
        <f>148*Главная!B134</f>
        <v>4647.2</v>
      </c>
      <c r="F56" s="7"/>
      <c r="G56" s="8"/>
      <c r="H56" s="9"/>
      <c r="I56" s="9"/>
      <c r="J56" s="9"/>
      <c r="K56" s="9"/>
    </row>
    <row r="57" spans="1:11" s="10" customFormat="1" ht="18" customHeight="1" thickBot="1">
      <c r="A57" s="218"/>
      <c r="B57" s="118" t="s">
        <v>20</v>
      </c>
      <c r="C57" s="119">
        <f>126*Главная!B134</f>
        <v>3956.3999999999996</v>
      </c>
      <c r="D57" s="120">
        <f>138*Главная!B134</f>
        <v>4333.2</v>
      </c>
      <c r="E57" s="121">
        <f>156*Главная!B134</f>
        <v>4898.4</v>
      </c>
      <c r="F57" s="7"/>
      <c r="G57" s="8"/>
      <c r="H57" s="9"/>
      <c r="I57" s="9"/>
      <c r="J57" s="9"/>
      <c r="K57" s="9"/>
    </row>
    <row r="58" spans="1:11" s="10" customFormat="1" ht="12.75" customHeight="1">
      <c r="A58" s="122"/>
      <c r="B58" s="12"/>
      <c r="C58" s="13"/>
      <c r="D58" s="13"/>
      <c r="E58" s="13"/>
      <c r="F58" s="7"/>
      <c r="G58" s="8"/>
      <c r="H58" s="9"/>
      <c r="I58" s="9"/>
      <c r="J58" s="9"/>
      <c r="K58" s="9"/>
    </row>
    <row r="59" spans="2:11" ht="9" customHeight="1">
      <c r="B59" s="6"/>
      <c r="C59" s="2"/>
      <c r="D59" s="2"/>
      <c r="E59" s="3"/>
      <c r="F59" s="3"/>
      <c r="G59" s="4"/>
      <c r="H59" s="5"/>
      <c r="I59" s="5"/>
      <c r="J59" s="5"/>
      <c r="K59" s="5"/>
    </row>
    <row r="60" spans="1:6" ht="33" customHeight="1">
      <c r="A60" s="211" t="s">
        <v>30</v>
      </c>
      <c r="B60" s="211"/>
      <c r="C60" s="211"/>
      <c r="D60" s="211"/>
      <c r="E60" s="211"/>
      <c r="F60" s="15"/>
    </row>
    <row r="61" spans="1:6" ht="17.25" customHeight="1">
      <c r="A61" s="14"/>
      <c r="B61" s="14"/>
      <c r="C61" s="14"/>
      <c r="D61" s="14"/>
      <c r="E61" s="14"/>
      <c r="F61" s="15"/>
    </row>
    <row r="62" spans="1:6" ht="9" customHeight="1">
      <c r="A62" s="16"/>
      <c r="B62" s="16"/>
      <c r="C62" s="16"/>
      <c r="D62" s="16"/>
      <c r="E62" s="16"/>
      <c r="F62" s="15"/>
    </row>
    <row r="63" spans="1:6" ht="12.75">
      <c r="A63" s="17" t="s">
        <v>156</v>
      </c>
      <c r="B63" s="16"/>
      <c r="C63" s="16"/>
      <c r="D63" s="16"/>
      <c r="E63" s="16"/>
      <c r="F63" s="15"/>
    </row>
    <row r="64" spans="1:6" ht="12.75">
      <c r="A64" s="17" t="s">
        <v>165</v>
      </c>
      <c r="B64" s="16"/>
      <c r="C64" s="16"/>
      <c r="D64" s="16"/>
      <c r="E64" s="123">
        <f>2*'[1]Главная'!B134</f>
        <v>2</v>
      </c>
      <c r="F64" s="15"/>
    </row>
    <row r="65" spans="1:6" ht="12.75">
      <c r="A65" s="17" t="s">
        <v>21</v>
      </c>
      <c r="B65" s="16"/>
      <c r="C65" s="16"/>
      <c r="D65" s="16"/>
      <c r="E65" s="16"/>
      <c r="F65" s="15"/>
    </row>
    <row r="66" spans="1:6" ht="12.75" customHeight="1">
      <c r="A66" s="16"/>
      <c r="B66" s="16"/>
      <c r="C66" s="16"/>
      <c r="D66" s="16"/>
      <c r="E66" s="16"/>
      <c r="F66" s="15"/>
    </row>
    <row r="67" spans="1:6" ht="16.5" customHeight="1">
      <c r="A67" s="73" t="s">
        <v>22</v>
      </c>
      <c r="B67" s="19" t="s">
        <v>23</v>
      </c>
      <c r="C67" s="19" t="s">
        <v>24</v>
      </c>
      <c r="D67" s="19" t="s">
        <v>25</v>
      </c>
      <c r="E67" s="19" t="s">
        <v>26</v>
      </c>
      <c r="F67"/>
    </row>
    <row r="68" spans="1:6" ht="30.75" customHeight="1">
      <c r="A68" s="74" t="s">
        <v>27</v>
      </c>
      <c r="B68" s="19">
        <v>3.64</v>
      </c>
      <c r="C68" s="19">
        <v>3.96</v>
      </c>
      <c r="D68" s="19">
        <v>5.71</v>
      </c>
      <c r="E68" s="19">
        <v>11.38</v>
      </c>
      <c r="F68"/>
    </row>
    <row r="69" spans="1:6" ht="36.75" customHeight="1">
      <c r="A69" s="74" t="s">
        <v>166</v>
      </c>
      <c r="B69" s="19" t="s">
        <v>28</v>
      </c>
      <c r="C69" s="19" t="s">
        <v>28</v>
      </c>
      <c r="D69" s="19"/>
      <c r="E69" s="19"/>
      <c r="F69"/>
    </row>
    <row r="70" spans="1:6" ht="30.75" customHeight="1">
      <c r="A70" s="74" t="s">
        <v>167</v>
      </c>
      <c r="B70" s="19"/>
      <c r="C70" s="19"/>
      <c r="D70" s="19" t="s">
        <v>28</v>
      </c>
      <c r="E70" s="19" t="s">
        <v>28</v>
      </c>
      <c r="F70" s="4" t="s">
        <v>3</v>
      </c>
    </row>
    <row r="71" spans="1:6" ht="12.75">
      <c r="A71" s="20"/>
      <c r="B71"/>
      <c r="C71"/>
      <c r="D71"/>
      <c r="E71"/>
      <c r="F71"/>
    </row>
    <row r="72" spans="1:6" ht="12.75">
      <c r="A72" s="17" t="s">
        <v>29</v>
      </c>
      <c r="B72" s="21"/>
      <c r="C72" s="22"/>
      <c r="D72" s="22"/>
      <c r="E72" s="22"/>
      <c r="F72"/>
    </row>
    <row r="73" spans="1:6" ht="12.75">
      <c r="A73" s="17"/>
      <c r="B73" s="21"/>
      <c r="C73" s="22"/>
      <c r="D73" s="22"/>
      <c r="E73" s="22"/>
      <c r="F73"/>
    </row>
    <row r="74" spans="1:6" ht="14.25" hidden="1">
      <c r="A74" s="212" t="s">
        <v>31</v>
      </c>
      <c r="B74" s="212"/>
      <c r="C74" s="212"/>
      <c r="D74" s="212"/>
      <c r="E74" s="212"/>
      <c r="F74"/>
    </row>
    <row r="75" spans="1:6" ht="18.75" customHeight="1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2:6" ht="40.5" customHeight="1">
      <c r="B77"/>
      <c r="C77"/>
      <c r="D77"/>
      <c r="E77"/>
      <c r="F77"/>
    </row>
    <row r="78" spans="2:6" ht="10.5" customHeight="1">
      <c r="B78"/>
      <c r="C78"/>
      <c r="D78"/>
      <c r="E78"/>
      <c r="F78"/>
    </row>
    <row r="79" spans="2:6" ht="12.75" customHeight="1">
      <c r="B79"/>
      <c r="C79"/>
      <c r="D79"/>
      <c r="E79"/>
      <c r="F79"/>
    </row>
  </sheetData>
  <sheetProtection/>
  <mergeCells count="15">
    <mergeCell ref="A5:E5"/>
    <mergeCell ref="C6:E6"/>
    <mergeCell ref="G6:J6"/>
    <mergeCell ref="A8:A9"/>
    <mergeCell ref="A1:E1"/>
    <mergeCell ref="A2:D2"/>
    <mergeCell ref="E2:E4"/>
    <mergeCell ref="A3:D3"/>
    <mergeCell ref="A4:D4"/>
    <mergeCell ref="A60:E60"/>
    <mergeCell ref="A74:E74"/>
    <mergeCell ref="A10:A21"/>
    <mergeCell ref="A22:A33"/>
    <mergeCell ref="A34:A45"/>
    <mergeCell ref="A46:A57"/>
  </mergeCells>
  <hyperlinks>
    <hyperlink ref="F6" location="Главная!A1" display="на главную"/>
    <hyperlink ref="F70" location="Главная!A1" display="на главную"/>
    <hyperlink ref="A4:D4" r:id="rId1" display="Смотрите виды и характеристики компакт ламината KronoCompact на сайте:"/>
    <hyperlink ref="A74:E74" r:id="rId2" display="Акции на KronoCompact смотрите на нашем сайте"/>
  </hyperlinks>
  <printOptions/>
  <pageMargins left="0.75" right="0.75" top="1" bottom="1" header="0.5" footer="0.5"/>
  <pageSetup horizontalDpi="600" verticalDpi="600" orientation="portrait" paperSize="9" scale="96" r:id="rId4"/>
  <rowBreaks count="1" manualBreakCount="1">
    <brk id="33" max="255" man="1"/>
  </rowBreaks>
  <colBreaks count="1" manualBreakCount="1">
    <brk id="5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30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2" max="2" width="13.25390625" style="0" customWidth="1"/>
    <col min="3" max="3" width="10.375" style="0" customWidth="1"/>
    <col min="4" max="4" width="10.00390625" style="0" customWidth="1"/>
    <col min="5" max="5" width="8.375" style="0" customWidth="1"/>
    <col min="9" max="9" width="11.00390625" style="0" customWidth="1"/>
  </cols>
  <sheetData>
    <row r="1" spans="1:9" ht="45" customHeight="1">
      <c r="A1" s="195"/>
      <c r="B1" s="195"/>
      <c r="C1" s="195"/>
      <c r="D1" s="195"/>
      <c r="E1" s="195"/>
      <c r="F1" s="195"/>
      <c r="G1" s="195"/>
      <c r="H1" s="195"/>
      <c r="I1" s="195"/>
    </row>
    <row r="2" spans="1:7" ht="24" customHeight="1">
      <c r="A2" s="196" t="s">
        <v>32</v>
      </c>
      <c r="B2" s="196"/>
      <c r="C2" s="196"/>
      <c r="D2" s="196"/>
      <c r="E2" s="196"/>
      <c r="F2" s="196"/>
      <c r="G2" s="32"/>
    </row>
    <row r="3" spans="1:8" ht="21.75" customHeight="1">
      <c r="A3" s="197" t="s">
        <v>1</v>
      </c>
      <c r="B3" s="197"/>
      <c r="C3" s="197"/>
      <c r="D3" s="197"/>
      <c r="E3" s="197"/>
      <c r="F3" s="197"/>
      <c r="G3" s="197"/>
      <c r="H3" s="197"/>
    </row>
    <row r="4" spans="1:8" ht="21.75" customHeight="1">
      <c r="A4" s="34"/>
      <c r="B4" s="34"/>
      <c r="C4" s="34"/>
      <c r="D4" s="34"/>
      <c r="E4" s="34"/>
      <c r="F4" s="34"/>
      <c r="G4" s="34"/>
      <c r="H4" s="34"/>
    </row>
    <row r="5" spans="1:9" ht="14.25" customHeight="1">
      <c r="A5" s="198">
        <f>Главная!B2</f>
        <v>42989</v>
      </c>
      <c r="B5" s="198"/>
      <c r="C5" s="25"/>
      <c r="D5" s="25"/>
      <c r="E5" s="199" t="s">
        <v>338</v>
      </c>
      <c r="F5" s="199"/>
      <c r="G5" s="199"/>
      <c r="H5" s="199"/>
      <c r="I5" s="199"/>
    </row>
    <row r="6" spans="1:9" ht="14.25" customHeight="1">
      <c r="A6" s="24"/>
      <c r="B6" s="24"/>
      <c r="C6" s="25"/>
      <c r="D6" s="25"/>
      <c r="E6" s="26"/>
      <c r="F6" s="26"/>
      <c r="G6" s="26"/>
      <c r="H6" s="26"/>
      <c r="I6" s="26"/>
    </row>
    <row r="7" spans="2:9" s="27" customFormat="1" ht="15" customHeight="1">
      <c r="B7" s="28"/>
      <c r="C7" s="28"/>
      <c r="D7" s="28"/>
      <c r="E7" s="28"/>
      <c r="F7" s="28"/>
      <c r="G7" s="29"/>
      <c r="I7" s="33" t="s">
        <v>3</v>
      </c>
    </row>
    <row r="8" spans="1:9" ht="27" customHeight="1">
      <c r="A8" s="207" t="s">
        <v>33</v>
      </c>
      <c r="B8" s="207" t="s">
        <v>34</v>
      </c>
      <c r="C8" s="207" t="s">
        <v>35</v>
      </c>
      <c r="D8" s="207" t="s">
        <v>36</v>
      </c>
      <c r="E8" s="207" t="s">
        <v>37</v>
      </c>
      <c r="F8" s="207" t="s">
        <v>38</v>
      </c>
      <c r="G8" s="207" t="s">
        <v>39</v>
      </c>
      <c r="H8" s="194" t="s">
        <v>407</v>
      </c>
      <c r="I8" s="194"/>
    </row>
    <row r="9" spans="1:9" ht="30.75" customHeight="1">
      <c r="A9" s="207"/>
      <c r="B9" s="207"/>
      <c r="C9" s="207"/>
      <c r="D9" s="207"/>
      <c r="E9" s="207"/>
      <c r="F9" s="207"/>
      <c r="G9" s="207"/>
      <c r="H9" s="35" t="s">
        <v>40</v>
      </c>
      <c r="I9" s="35" t="s">
        <v>41</v>
      </c>
    </row>
    <row r="10" spans="1:9" ht="31.5" customHeight="1">
      <c r="A10" s="11" t="s">
        <v>42</v>
      </c>
      <c r="B10" s="11">
        <v>5</v>
      </c>
      <c r="C10" s="11">
        <v>3.89</v>
      </c>
      <c r="D10" s="11" t="s">
        <v>43</v>
      </c>
      <c r="E10" s="11" t="s">
        <v>44</v>
      </c>
      <c r="F10" s="11" t="s">
        <v>45</v>
      </c>
      <c r="G10" s="11">
        <v>30</v>
      </c>
      <c r="H10" s="72">
        <f>85*Главная!B134</f>
        <v>2669</v>
      </c>
      <c r="I10" s="62">
        <f>H10*C10</f>
        <v>10382.41</v>
      </c>
    </row>
    <row r="11" spans="1:9" ht="31.5" customHeight="1">
      <c r="A11" s="11" t="s">
        <v>42</v>
      </c>
      <c r="B11" s="11">
        <v>5</v>
      </c>
      <c r="C11" s="11">
        <v>3.89</v>
      </c>
      <c r="D11" s="11" t="s">
        <v>43</v>
      </c>
      <c r="E11" s="11" t="s">
        <v>44</v>
      </c>
      <c r="F11" s="11" t="s">
        <v>46</v>
      </c>
      <c r="G11" s="11">
        <v>30</v>
      </c>
      <c r="H11" s="72">
        <f>105*Главная!B134</f>
        <v>3297</v>
      </c>
      <c r="I11" s="62">
        <f>H11*C11</f>
        <v>12825.33</v>
      </c>
    </row>
    <row r="12" spans="1:9" ht="15" customHeight="1">
      <c r="A12" s="12"/>
      <c r="B12" s="12"/>
      <c r="C12" s="12"/>
      <c r="D12" s="12"/>
      <c r="E12" s="12"/>
      <c r="F12" s="12"/>
      <c r="G12" s="12"/>
      <c r="H12" s="36"/>
      <c r="I12" s="36"/>
    </row>
    <row r="13" spans="1:9" ht="12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1.75" customHeight="1">
      <c r="A14" s="206" t="s">
        <v>47</v>
      </c>
      <c r="B14" s="206"/>
      <c r="C14" s="206"/>
      <c r="D14" s="206"/>
      <c r="E14" s="206"/>
      <c r="F14" s="37"/>
      <c r="G14" s="38"/>
      <c r="H14" s="38"/>
      <c r="I14" s="10"/>
    </row>
    <row r="15" spans="1:9" ht="21.75" customHeight="1">
      <c r="A15" s="206" t="s">
        <v>48</v>
      </c>
      <c r="B15" s="206"/>
      <c r="C15" s="206"/>
      <c r="D15" s="206"/>
      <c r="E15" s="206"/>
      <c r="F15" s="37"/>
      <c r="G15" s="38"/>
      <c r="H15" s="38"/>
      <c r="I15" s="10"/>
    </row>
    <row r="16" spans="1:9" ht="21.75" customHeight="1">
      <c r="A16" s="206" t="s">
        <v>49</v>
      </c>
      <c r="B16" s="206"/>
      <c r="C16" s="206"/>
      <c r="D16" s="206"/>
      <c r="E16" s="206"/>
      <c r="F16" s="206"/>
      <c r="G16" s="38"/>
      <c r="H16" s="38"/>
      <c r="I16" s="10"/>
    </row>
    <row r="17" spans="1:9" ht="21.75" customHeight="1">
      <c r="A17" s="206" t="s">
        <v>50</v>
      </c>
      <c r="B17" s="206"/>
      <c r="C17" s="206"/>
      <c r="D17" s="206"/>
      <c r="E17" s="206"/>
      <c r="F17" s="39"/>
      <c r="G17" s="38"/>
      <c r="H17" s="38"/>
      <c r="I17" s="10"/>
    </row>
    <row r="18" spans="1:8" ht="21.75" customHeight="1">
      <c r="A18" s="206" t="s">
        <v>68</v>
      </c>
      <c r="B18" s="206"/>
      <c r="C18" s="206"/>
      <c r="D18" s="206"/>
      <c r="E18" s="206"/>
      <c r="F18" s="39"/>
      <c r="G18" s="40"/>
      <c r="H18" s="40"/>
    </row>
    <row r="19" spans="1:8" ht="14.25" customHeight="1">
      <c r="A19" s="40"/>
      <c r="B19" s="40"/>
      <c r="C19" s="40"/>
      <c r="D19" s="40"/>
      <c r="E19" s="40"/>
      <c r="F19" s="40"/>
      <c r="G19" s="40"/>
      <c r="H19" s="40"/>
    </row>
    <row r="20" spans="1:8" ht="22.5" customHeight="1">
      <c r="A20" s="124" t="s">
        <v>51</v>
      </c>
      <c r="B20" s="39"/>
      <c r="C20" s="39"/>
      <c r="D20" s="39"/>
      <c r="E20" s="39"/>
      <c r="F20" s="39"/>
      <c r="G20" s="39"/>
      <c r="H20" s="39"/>
    </row>
    <row r="21" spans="1:8" ht="18" customHeight="1">
      <c r="A21" s="205" t="s">
        <v>52</v>
      </c>
      <c r="B21" s="205"/>
      <c r="C21" s="205"/>
      <c r="D21" s="41"/>
      <c r="E21" s="205" t="s">
        <v>53</v>
      </c>
      <c r="F21" s="205"/>
      <c r="G21" s="205"/>
      <c r="H21" s="41"/>
    </row>
    <row r="22" spans="1:8" ht="18" customHeight="1">
      <c r="A22" s="205" t="s">
        <v>54</v>
      </c>
      <c r="B22" s="205"/>
      <c r="C22" s="205"/>
      <c r="D22" s="41"/>
      <c r="E22" s="205" t="s">
        <v>55</v>
      </c>
      <c r="F22" s="205"/>
      <c r="G22" s="205"/>
      <c r="H22" s="41"/>
    </row>
    <row r="23" spans="1:8" ht="18" customHeight="1">
      <c r="A23" s="205" t="s">
        <v>56</v>
      </c>
      <c r="B23" s="205"/>
      <c r="C23" s="205"/>
      <c r="D23" s="41"/>
      <c r="E23" s="205" t="s">
        <v>57</v>
      </c>
      <c r="F23" s="205"/>
      <c r="G23" s="205"/>
      <c r="H23" s="41"/>
    </row>
    <row r="24" spans="1:8" ht="18" customHeight="1">
      <c r="A24" s="205" t="s">
        <v>58</v>
      </c>
      <c r="B24" s="205"/>
      <c r="C24" s="205"/>
      <c r="D24" s="41"/>
      <c r="E24" s="205" t="s">
        <v>59</v>
      </c>
      <c r="F24" s="205"/>
      <c r="G24" s="205"/>
      <c r="H24" s="41"/>
    </row>
    <row r="25" spans="1:8" ht="18" customHeight="1">
      <c r="A25" s="205" t="s">
        <v>60</v>
      </c>
      <c r="B25" s="205"/>
      <c r="C25" s="205"/>
      <c r="D25" s="41"/>
      <c r="E25" s="205" t="s">
        <v>61</v>
      </c>
      <c r="F25" s="205"/>
      <c r="G25" s="205"/>
      <c r="H25" s="41"/>
    </row>
    <row r="26" spans="1:8" ht="18" customHeight="1">
      <c r="A26" s="205" t="s">
        <v>62</v>
      </c>
      <c r="B26" s="205"/>
      <c r="C26" s="205"/>
      <c r="D26" s="41"/>
      <c r="E26" s="205" t="s">
        <v>63</v>
      </c>
      <c r="F26" s="205"/>
      <c r="G26" s="205"/>
      <c r="H26" s="205"/>
    </row>
    <row r="27" spans="1:8" ht="18" customHeight="1">
      <c r="A27" s="205" t="s">
        <v>64</v>
      </c>
      <c r="B27" s="205"/>
      <c r="C27" s="205"/>
      <c r="D27" s="41"/>
      <c r="E27" s="205" t="s">
        <v>65</v>
      </c>
      <c r="F27" s="205"/>
      <c r="G27" s="205"/>
      <c r="H27" s="205"/>
    </row>
    <row r="28" spans="1:8" ht="18" customHeight="1">
      <c r="A28" s="205" t="s">
        <v>66</v>
      </c>
      <c r="B28" s="205"/>
      <c r="C28" s="205"/>
      <c r="D28" s="41"/>
      <c r="E28" s="205" t="s">
        <v>67</v>
      </c>
      <c r="F28" s="205"/>
      <c r="G28" s="205"/>
      <c r="H28" s="41"/>
    </row>
    <row r="29" spans="1:8" ht="18" customHeight="1">
      <c r="A29" s="41"/>
      <c r="B29" s="41"/>
      <c r="C29" s="41"/>
      <c r="D29" s="41"/>
      <c r="E29" s="41"/>
      <c r="F29" s="41"/>
      <c r="G29" s="41"/>
      <c r="H29" s="41"/>
    </row>
    <row r="30" spans="1:9" ht="14.25" customHeight="1">
      <c r="A30" s="40" t="s">
        <v>168</v>
      </c>
      <c r="B30" s="40"/>
      <c r="C30" s="40"/>
      <c r="D30" s="40"/>
      <c r="E30" s="40"/>
      <c r="F30" s="40"/>
      <c r="G30" s="40"/>
      <c r="H30" s="40"/>
      <c r="I30" s="33" t="s">
        <v>3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34">
    <mergeCell ref="A1:I1"/>
    <mergeCell ref="A2:F2"/>
    <mergeCell ref="A3:H3"/>
    <mergeCell ref="A5:B5"/>
    <mergeCell ref="E5:I5"/>
    <mergeCell ref="G8:G9"/>
    <mergeCell ref="H8:I8"/>
    <mergeCell ref="A8:A9"/>
    <mergeCell ref="B8:B9"/>
    <mergeCell ref="C8:C9"/>
    <mergeCell ref="D8:D9"/>
    <mergeCell ref="E8:E9"/>
    <mergeCell ref="F8:F9"/>
    <mergeCell ref="A14:E14"/>
    <mergeCell ref="A15:E15"/>
    <mergeCell ref="A16:F16"/>
    <mergeCell ref="A17:E17"/>
    <mergeCell ref="A23:C23"/>
    <mergeCell ref="E23:G23"/>
    <mergeCell ref="A24:C24"/>
    <mergeCell ref="E24:G24"/>
    <mergeCell ref="A18:E18"/>
    <mergeCell ref="A21:C21"/>
    <mergeCell ref="E21:G21"/>
    <mergeCell ref="A22:C22"/>
    <mergeCell ref="E22:G22"/>
    <mergeCell ref="A27:C27"/>
    <mergeCell ref="E27:H27"/>
    <mergeCell ref="A28:C28"/>
    <mergeCell ref="E28:G28"/>
    <mergeCell ref="A25:C25"/>
    <mergeCell ref="E25:G25"/>
    <mergeCell ref="A26:C26"/>
    <mergeCell ref="E26:H26"/>
  </mergeCells>
  <hyperlinks>
    <hyperlink ref="I7" location="Главная!R1C1" display="на главную"/>
    <hyperlink ref="I30" location="Главная!R1C1" display="на главную"/>
  </hyperlinks>
  <printOptions/>
  <pageMargins left="0.19" right="0.23" top="0.33" bottom="1" header="0.24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4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9.25390625" style="30" customWidth="1"/>
    <col min="2" max="2" width="7.875" style="30" customWidth="1"/>
    <col min="3" max="3" width="8.625" style="30" customWidth="1"/>
    <col min="4" max="4" width="7.625" style="30" customWidth="1"/>
    <col min="5" max="5" width="12.375" style="30" customWidth="1"/>
    <col min="6" max="6" width="8.125" style="30" customWidth="1"/>
    <col min="7" max="7" width="8.625" style="30" customWidth="1"/>
    <col min="8" max="8" width="8.375" style="30" customWidth="1"/>
    <col min="9" max="9" width="12.375" style="30" customWidth="1"/>
    <col min="10" max="10" width="12.25390625" style="30" customWidth="1"/>
    <col min="11" max="13" width="9.125" style="30" customWidth="1"/>
    <col min="16" max="17" width="12.625" style="0" customWidth="1"/>
    <col min="18" max="18" width="12.875" style="0" customWidth="1"/>
  </cols>
  <sheetData>
    <row r="1" spans="1:9" ht="45" customHeight="1">
      <c r="A1" s="236"/>
      <c r="B1" s="236"/>
      <c r="C1" s="236"/>
      <c r="D1" s="236"/>
      <c r="E1" s="236"/>
      <c r="F1" s="236"/>
      <c r="G1" s="236"/>
      <c r="H1" s="236"/>
      <c r="I1" s="236"/>
    </row>
    <row r="2" spans="1:9" ht="18" customHeight="1">
      <c r="A2" s="237">
        <f>Главная!B2</f>
        <v>42989</v>
      </c>
      <c r="B2" s="237"/>
      <c r="C2" s="237"/>
      <c r="D2" s="42"/>
      <c r="E2" s="199" t="s">
        <v>338</v>
      </c>
      <c r="F2" s="199"/>
      <c r="G2" s="199"/>
      <c r="H2" s="199"/>
      <c r="I2" s="199"/>
    </row>
    <row r="3" spans="1:9" ht="31.5" customHeight="1">
      <c r="A3" s="238" t="s">
        <v>69</v>
      </c>
      <c r="B3" s="238"/>
      <c r="C3" s="238"/>
      <c r="D3" s="238"/>
      <c r="E3" s="238"/>
      <c r="F3" s="238"/>
      <c r="G3" s="238"/>
      <c r="H3" s="236"/>
      <c r="I3" s="236"/>
    </row>
    <row r="4" spans="1:9" ht="18" customHeight="1">
      <c r="A4" s="239" t="s">
        <v>1</v>
      </c>
      <c r="B4" s="239"/>
      <c r="C4" s="239"/>
      <c r="D4" s="239"/>
      <c r="E4" s="239"/>
      <c r="F4" s="239"/>
      <c r="G4" s="239"/>
      <c r="H4" s="236"/>
      <c r="I4" s="236"/>
    </row>
    <row r="5" spans="1:9" ht="13.5" customHeight="1">
      <c r="A5" s="240" t="s">
        <v>70</v>
      </c>
      <c r="B5" s="240"/>
      <c r="C5" s="240"/>
      <c r="D5" s="240"/>
      <c r="E5" s="240"/>
      <c r="F5" s="240"/>
      <c r="G5" s="240"/>
      <c r="H5" s="236"/>
      <c r="I5" s="236"/>
    </row>
    <row r="6" spans="1:9" ht="12.75" customHeight="1">
      <c r="A6" s="241" t="s">
        <v>71</v>
      </c>
      <c r="B6" s="241"/>
      <c r="C6" s="241"/>
      <c r="D6" s="241"/>
      <c r="E6" s="241"/>
      <c r="F6" s="241"/>
      <c r="G6" s="241"/>
      <c r="H6" s="236"/>
      <c r="I6" s="236"/>
    </row>
    <row r="7" spans="1:9" ht="12.75">
      <c r="A7" s="229"/>
      <c r="B7" s="229"/>
      <c r="C7" s="229"/>
      <c r="D7" s="229"/>
      <c r="E7" s="229"/>
      <c r="F7" s="229"/>
      <c r="G7" s="229"/>
      <c r="H7" s="229"/>
      <c r="I7" s="229"/>
    </row>
    <row r="8" spans="1:9" ht="19.5" customHeight="1">
      <c r="A8" s="230" t="s">
        <v>72</v>
      </c>
      <c r="B8" s="230"/>
      <c r="C8" s="230"/>
      <c r="D8" s="230"/>
      <c r="E8" s="230"/>
      <c r="F8" s="230"/>
      <c r="G8" s="230"/>
      <c r="H8" s="230"/>
      <c r="I8" s="230"/>
    </row>
    <row r="9" spans="1:9" ht="15" customHeight="1">
      <c r="A9" s="231" t="s">
        <v>387</v>
      </c>
      <c r="B9" s="231"/>
      <c r="C9" s="231"/>
      <c r="D9" s="231"/>
      <c r="E9" s="231"/>
      <c r="F9" s="231"/>
      <c r="G9" s="231"/>
      <c r="H9" s="231"/>
      <c r="I9" s="231"/>
    </row>
    <row r="10" spans="1:9" ht="19.5" customHeight="1">
      <c r="A10" s="232" t="s">
        <v>149</v>
      </c>
      <c r="B10" s="232"/>
      <c r="C10" s="232"/>
      <c r="D10" s="232"/>
      <c r="E10" s="232"/>
      <c r="F10" s="232"/>
      <c r="G10" s="232"/>
      <c r="H10" s="232"/>
      <c r="I10" s="232"/>
    </row>
    <row r="11" spans="1:10" ht="20.25" customHeight="1">
      <c r="A11" s="43" t="s">
        <v>73</v>
      </c>
      <c r="B11" s="233" t="s">
        <v>74</v>
      </c>
      <c r="C11" s="233"/>
      <c r="D11" s="233"/>
      <c r="E11" s="233"/>
      <c r="F11" s="233" t="s">
        <v>75</v>
      </c>
      <c r="G11" s="233"/>
      <c r="H11" s="233"/>
      <c r="I11" s="233"/>
      <c r="J11" s="4" t="s">
        <v>3</v>
      </c>
    </row>
    <row r="12" spans="1:9" ht="36">
      <c r="A12" s="43" t="s">
        <v>76</v>
      </c>
      <c r="B12" s="44" t="s">
        <v>77</v>
      </c>
      <c r="C12" s="44" t="s">
        <v>78</v>
      </c>
      <c r="D12" s="44" t="s">
        <v>79</v>
      </c>
      <c r="E12" s="44" t="s">
        <v>80</v>
      </c>
      <c r="F12" s="44" t="s">
        <v>77</v>
      </c>
      <c r="G12" s="44" t="s">
        <v>78</v>
      </c>
      <c r="H12" s="44" t="s">
        <v>79</v>
      </c>
      <c r="I12" s="44" t="s">
        <v>80</v>
      </c>
    </row>
    <row r="13" spans="1:9" ht="18" customHeight="1">
      <c r="A13" s="45">
        <v>0.5</v>
      </c>
      <c r="B13" s="125">
        <f>7.7*Главная!B134</f>
        <v>241.78</v>
      </c>
      <c r="C13" s="125">
        <f>7.8*Главная!B134</f>
        <v>244.92</v>
      </c>
      <c r="D13" s="125">
        <f>8.1*Главная!B134</f>
        <v>254.33999999999997</v>
      </c>
      <c r="E13" s="125">
        <f>8.15*Главная!B134</f>
        <v>255.91</v>
      </c>
      <c r="F13" s="125"/>
      <c r="G13" s="125"/>
      <c r="H13" s="125"/>
      <c r="I13" s="125"/>
    </row>
    <row r="14" spans="1:9" ht="18" customHeight="1">
      <c r="A14" s="45">
        <v>0.6</v>
      </c>
      <c r="B14" s="125">
        <f>7.95*Главная!B134</f>
        <v>249.63</v>
      </c>
      <c r="C14" s="125">
        <f>8.1*Главная!B134</f>
        <v>254.33999999999997</v>
      </c>
      <c r="D14" s="125">
        <f>8.35*Главная!B134</f>
        <v>262.19</v>
      </c>
      <c r="E14" s="125">
        <f>8.55*Главная!B134</f>
        <v>268.47</v>
      </c>
      <c r="F14" s="125">
        <f>9.95*Главная!B134</f>
        <v>312.42999999999995</v>
      </c>
      <c r="G14" s="125">
        <f>10.95*Главная!B134</f>
        <v>343.83</v>
      </c>
      <c r="H14" s="125">
        <f>10.95*Главная!B134</f>
        <v>343.83</v>
      </c>
      <c r="I14" s="125">
        <f>12.45*Главная!B134</f>
        <v>390.92999999999995</v>
      </c>
    </row>
    <row r="15" spans="1:9" ht="18" customHeight="1">
      <c r="A15" s="45">
        <v>0.7</v>
      </c>
      <c r="B15" s="125">
        <f>8.55*Главная!B134</f>
        <v>268.47</v>
      </c>
      <c r="C15" s="125">
        <f>8.75*Главная!B134</f>
        <v>274.75</v>
      </c>
      <c r="D15" s="125">
        <f>8.95*Главная!B134</f>
        <v>281.03</v>
      </c>
      <c r="E15" s="125">
        <f>9.15*Главная!B134</f>
        <v>287.31</v>
      </c>
      <c r="F15" s="125"/>
      <c r="G15" s="125"/>
      <c r="H15" s="125"/>
      <c r="I15" s="125"/>
    </row>
    <row r="16" spans="1:9" ht="18" customHeight="1">
      <c r="A16" s="45">
        <v>0.8</v>
      </c>
      <c r="B16" s="125">
        <f>9.55*Главная!B134</f>
        <v>299.87</v>
      </c>
      <c r="C16" s="125">
        <f>9.75*Главная!B134</f>
        <v>306.15</v>
      </c>
      <c r="D16" s="125">
        <f>10.15*Главная!B134</f>
        <v>318.71</v>
      </c>
      <c r="E16" s="125">
        <f>10.25*Главная!B134</f>
        <v>321.84999999999997</v>
      </c>
      <c r="F16" s="125">
        <f>11.85*Главная!B134</f>
        <v>372.09</v>
      </c>
      <c r="G16" s="125">
        <f>12.95*Главная!B134</f>
        <v>406.62999999999994</v>
      </c>
      <c r="H16" s="125">
        <f>12.95*Главная!B134</f>
        <v>406.62999999999994</v>
      </c>
      <c r="I16" s="125">
        <f>14.45*Главная!B134</f>
        <v>453.72999999999996</v>
      </c>
    </row>
    <row r="17" spans="1:9" ht="18" customHeight="1">
      <c r="A17" s="45">
        <v>0.9</v>
      </c>
      <c r="B17" s="125">
        <f>10*Главная!B134</f>
        <v>314</v>
      </c>
      <c r="C17" s="125">
        <f>10.25*Главная!B134</f>
        <v>321.84999999999997</v>
      </c>
      <c r="D17" s="125">
        <f>10.55*Главная!B134</f>
        <v>331.27</v>
      </c>
      <c r="E17" s="125">
        <f>10.65*Главная!B134</f>
        <v>334.40999999999997</v>
      </c>
      <c r="F17" s="125"/>
      <c r="G17" s="125"/>
      <c r="H17" s="125"/>
      <c r="I17" s="125"/>
    </row>
    <row r="18" spans="1:9" ht="18" customHeight="1">
      <c r="A18" s="45">
        <v>1.2</v>
      </c>
      <c r="B18" s="125">
        <f>12.3*Главная!B134</f>
        <v>386.22</v>
      </c>
      <c r="C18" s="125">
        <f>12.45*Главная!B134</f>
        <v>390.92999999999995</v>
      </c>
      <c r="D18" s="125">
        <f>12.65*Главная!B134</f>
        <v>397.21</v>
      </c>
      <c r="E18" s="125">
        <f>12.75*Главная!B134</f>
        <v>400.34999999999997</v>
      </c>
      <c r="F18" s="125"/>
      <c r="G18" s="125"/>
      <c r="H18" s="125"/>
      <c r="I18" s="125"/>
    </row>
    <row r="19" spans="1:9" ht="18" customHeight="1">
      <c r="A19" s="45">
        <v>1.4</v>
      </c>
      <c r="B19" s="125">
        <f>12.95*Главная!B134</f>
        <v>406.62999999999994</v>
      </c>
      <c r="C19" s="125">
        <f>13.25*Главная!B134</f>
        <v>416.04999999999995</v>
      </c>
      <c r="D19" s="125">
        <f>13.65*Главная!B134</f>
        <v>428.61</v>
      </c>
      <c r="E19" s="125">
        <f>13.75*Главная!B134</f>
        <v>431.75</v>
      </c>
      <c r="F19" s="125">
        <f>15.35*Главная!B134</f>
        <v>481.98999999999995</v>
      </c>
      <c r="G19" s="125">
        <f>15.65*Главная!B134</f>
        <v>491.40999999999997</v>
      </c>
      <c r="H19" s="125">
        <f>15.95*Главная!B134</f>
        <v>500.8299999999999</v>
      </c>
      <c r="I19" s="125">
        <f>15.95*Главная!B134</f>
        <v>500.8299999999999</v>
      </c>
    </row>
    <row r="20" spans="1:9" ht="18" customHeight="1">
      <c r="A20" s="45">
        <v>2.5</v>
      </c>
      <c r="B20" s="125">
        <f>21*Главная!B134</f>
        <v>659.4</v>
      </c>
      <c r="C20" s="125">
        <f>21.55*Главная!B134</f>
        <v>676.67</v>
      </c>
      <c r="D20" s="125">
        <f>21.75*Главная!B134</f>
        <v>682.9499999999999</v>
      </c>
      <c r="E20" s="125">
        <f>21.95*Главная!B134</f>
        <v>689.2299999999999</v>
      </c>
      <c r="F20" s="125"/>
      <c r="G20" s="125"/>
      <c r="H20" s="125"/>
      <c r="I20" s="125"/>
    </row>
    <row r="21" spans="1:9" ht="15.75" customHeight="1">
      <c r="A21" s="12"/>
      <c r="B21" s="46"/>
      <c r="C21" s="46"/>
      <c r="D21" s="46"/>
      <c r="E21" s="46"/>
      <c r="F21" s="46"/>
      <c r="G21" s="46"/>
      <c r="H21" s="46"/>
      <c r="I21" s="46"/>
    </row>
    <row r="22" spans="1:9" ht="30.75" customHeight="1">
      <c r="A22" s="234" t="s">
        <v>81</v>
      </c>
      <c r="B22" s="234"/>
      <c r="C22" s="234"/>
      <c r="D22" s="234"/>
      <c r="E22" s="234"/>
      <c r="F22" s="234"/>
      <c r="G22" s="234"/>
      <c r="H22" s="234"/>
      <c r="I22" s="234"/>
    </row>
    <row r="23" spans="1:9" ht="15.75" customHeight="1">
      <c r="A23" s="43"/>
      <c r="B23" s="235" t="s">
        <v>82</v>
      </c>
      <c r="C23" s="235"/>
      <c r="D23" s="235"/>
      <c r="E23" s="235"/>
      <c r="F23" s="235" t="s">
        <v>83</v>
      </c>
      <c r="G23" s="235"/>
      <c r="H23" s="235"/>
      <c r="I23" s="235"/>
    </row>
    <row r="24" spans="1:9" ht="18" customHeight="1">
      <c r="A24" s="47">
        <v>0.6</v>
      </c>
      <c r="B24" s="226">
        <f>31*Главная!B134</f>
        <v>973.4</v>
      </c>
      <c r="C24" s="227"/>
      <c r="D24" s="227"/>
      <c r="E24" s="228"/>
      <c r="F24" s="226">
        <f>35*Главная!B134</f>
        <v>1099</v>
      </c>
      <c r="G24" s="227"/>
      <c r="H24" s="227"/>
      <c r="I24" s="228"/>
    </row>
    <row r="25" spans="1:9" ht="18" customHeight="1">
      <c r="A25" s="47">
        <v>0.8</v>
      </c>
      <c r="B25" s="226">
        <f>32*Главная!B134</f>
        <v>1004.8</v>
      </c>
      <c r="C25" s="227"/>
      <c r="D25" s="227"/>
      <c r="E25" s="228"/>
      <c r="F25" s="226">
        <f>36*Главная!B134</f>
        <v>1130.3999999999999</v>
      </c>
      <c r="G25" s="227"/>
      <c r="H25" s="227"/>
      <c r="I25" s="228"/>
    </row>
    <row r="26" ht="15" customHeight="1"/>
    <row r="27" spans="1:9" ht="21.75" customHeight="1">
      <c r="A27" s="200" t="s">
        <v>84</v>
      </c>
      <c r="B27" s="200"/>
      <c r="C27" s="200"/>
      <c r="D27" s="225" t="s">
        <v>85</v>
      </c>
      <c r="E27" s="225"/>
      <c r="F27" s="225" t="s">
        <v>86</v>
      </c>
      <c r="G27" s="225"/>
      <c r="H27" s="202" t="s">
        <v>87</v>
      </c>
      <c r="I27" s="202"/>
    </row>
    <row r="28" spans="1:9" ht="21.75" customHeight="1">
      <c r="A28" s="200" t="s">
        <v>88</v>
      </c>
      <c r="B28" s="200"/>
      <c r="C28" s="200"/>
      <c r="D28" s="201">
        <v>4.03</v>
      </c>
      <c r="E28" s="201"/>
      <c r="F28" s="201">
        <v>3.7</v>
      </c>
      <c r="G28" s="201"/>
      <c r="H28" s="202" t="s">
        <v>89</v>
      </c>
      <c r="I28" s="202"/>
    </row>
    <row r="29" spans="1:9" ht="21.75" customHeight="1">
      <c r="A29" s="200" t="s">
        <v>90</v>
      </c>
      <c r="B29" s="200"/>
      <c r="C29" s="200"/>
      <c r="D29" s="225">
        <v>50</v>
      </c>
      <c r="E29" s="225"/>
      <c r="F29" s="225">
        <v>50</v>
      </c>
      <c r="G29" s="225"/>
      <c r="H29" s="202">
        <v>100</v>
      </c>
      <c r="I29" s="202"/>
    </row>
    <row r="30" spans="1:8" ht="20.25" customHeight="1">
      <c r="A30" s="48"/>
      <c r="B30" s="48"/>
      <c r="C30" s="48"/>
      <c r="D30" s="48"/>
      <c r="E30" s="48"/>
      <c r="F30" s="48"/>
      <c r="G30" s="48"/>
      <c r="H30" s="25"/>
    </row>
    <row r="31" spans="1:8" ht="15">
      <c r="A31" s="49" t="s">
        <v>91</v>
      </c>
      <c r="B31" s="50"/>
      <c r="C31" s="50"/>
      <c r="D31" s="50"/>
      <c r="E31" s="50"/>
      <c r="F31" s="48"/>
      <c r="G31" s="48"/>
      <c r="H31" s="25"/>
    </row>
    <row r="32" spans="1:8" ht="16.5" customHeight="1">
      <c r="A32" s="50"/>
      <c r="B32" s="50"/>
      <c r="C32" s="50"/>
      <c r="D32" s="51" t="s">
        <v>92</v>
      </c>
      <c r="E32" s="50"/>
      <c r="F32" s="48"/>
      <c r="G32" s="48"/>
      <c r="H32" s="25"/>
    </row>
    <row r="33" spans="1:8" ht="16.5" customHeight="1">
      <c r="A33" s="50"/>
      <c r="B33" s="50"/>
      <c r="C33" s="50"/>
      <c r="D33" s="51" t="s">
        <v>93</v>
      </c>
      <c r="E33" s="50"/>
      <c r="F33" s="48"/>
      <c r="G33" s="48"/>
      <c r="H33" s="25"/>
    </row>
    <row r="34" spans="1:8" ht="16.5" customHeight="1">
      <c r="A34" s="50"/>
      <c r="B34" s="50"/>
      <c r="C34" s="50"/>
      <c r="D34" s="51" t="s">
        <v>94</v>
      </c>
      <c r="E34" s="50"/>
      <c r="F34" s="48"/>
      <c r="G34" s="48"/>
      <c r="H34" s="25"/>
    </row>
    <row r="35" spans="1:8" ht="16.5" customHeight="1">
      <c r="A35" s="50"/>
      <c r="B35" s="50"/>
      <c r="C35" s="50"/>
      <c r="D35" s="51" t="s">
        <v>95</v>
      </c>
      <c r="E35" s="50"/>
      <c r="F35" s="48"/>
      <c r="G35" s="48"/>
      <c r="H35" s="25"/>
    </row>
    <row r="36" spans="1:10" ht="16.5" customHeight="1">
      <c r="A36" s="50"/>
      <c r="B36" s="50"/>
      <c r="C36" s="50"/>
      <c r="D36" s="51" t="s">
        <v>96</v>
      </c>
      <c r="E36" s="50"/>
      <c r="F36" s="48"/>
      <c r="G36" s="48"/>
      <c r="H36" s="25"/>
      <c r="J36" s="4" t="s">
        <v>3</v>
      </c>
    </row>
    <row r="37" spans="1:7" ht="12.75">
      <c r="A37" s="52"/>
      <c r="B37" s="52"/>
      <c r="C37" s="52"/>
      <c r="D37" s="52"/>
      <c r="E37" s="52"/>
      <c r="F37" s="52"/>
      <c r="G37" s="52"/>
    </row>
    <row r="38" spans="1:7" ht="12.75">
      <c r="A38" s="52"/>
      <c r="B38" s="52"/>
      <c r="C38" s="52"/>
      <c r="D38" s="52"/>
      <c r="E38" s="52"/>
      <c r="F38" s="52"/>
      <c r="G38" s="52"/>
    </row>
    <row r="39" spans="1:7" ht="12.75">
      <c r="A39" s="52"/>
      <c r="B39" s="52"/>
      <c r="C39" s="52"/>
      <c r="D39" s="52"/>
      <c r="E39" s="52"/>
      <c r="F39" s="52"/>
      <c r="G39" s="52"/>
    </row>
    <row r="40" spans="1:10" ht="18.75" customHeight="1">
      <c r="A40"/>
      <c r="B40"/>
      <c r="C40"/>
      <c r="D40"/>
      <c r="E40"/>
      <c r="F40"/>
      <c r="G40"/>
      <c r="H40"/>
      <c r="I40"/>
      <c r="J40"/>
    </row>
    <row r="41" spans="1:9" ht="16.5" customHeight="1">
      <c r="A41"/>
      <c r="B41"/>
      <c r="C41"/>
      <c r="D41"/>
      <c r="E41"/>
      <c r="F41"/>
      <c r="G41"/>
      <c r="H41"/>
      <c r="I41"/>
    </row>
    <row r="42" spans="1:9" ht="18" customHeight="1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 customHeight="1">
      <c r="A44"/>
      <c r="B44"/>
      <c r="C44"/>
      <c r="D44"/>
      <c r="E44"/>
      <c r="F44"/>
      <c r="G44"/>
      <c r="H44"/>
      <c r="I44"/>
    </row>
  </sheetData>
  <sheetProtection/>
  <mergeCells count="33">
    <mergeCell ref="A1:I1"/>
    <mergeCell ref="A2:C2"/>
    <mergeCell ref="A3:G3"/>
    <mergeCell ref="H3:I6"/>
    <mergeCell ref="A4:G4"/>
    <mergeCell ref="A5:G5"/>
    <mergeCell ref="A6:G6"/>
    <mergeCell ref="E2:I2"/>
    <mergeCell ref="B11:E11"/>
    <mergeCell ref="F11:I11"/>
    <mergeCell ref="A22:I22"/>
    <mergeCell ref="B23:E23"/>
    <mergeCell ref="F23:I23"/>
    <mergeCell ref="A7:I7"/>
    <mergeCell ref="A8:I8"/>
    <mergeCell ref="A9:I9"/>
    <mergeCell ref="A10:I10"/>
    <mergeCell ref="A27:C27"/>
    <mergeCell ref="D27:E27"/>
    <mergeCell ref="F27:G27"/>
    <mergeCell ref="H27:I27"/>
    <mergeCell ref="B24:E24"/>
    <mergeCell ref="F24:I24"/>
    <mergeCell ref="B25:E25"/>
    <mergeCell ref="F25:I25"/>
    <mergeCell ref="A29:C29"/>
    <mergeCell ref="D29:E29"/>
    <mergeCell ref="F29:G29"/>
    <mergeCell ref="H29:I29"/>
    <mergeCell ref="A28:C28"/>
    <mergeCell ref="D28:E28"/>
    <mergeCell ref="F28:G28"/>
    <mergeCell ref="H28:I28"/>
  </mergeCells>
  <hyperlinks>
    <hyperlink ref="A6" r:id="rId1" display="http://plastics.ua/dom/products/Пластик HPL"/>
    <hyperlink ref="J11" location="Главная!A1" display="на главную"/>
    <hyperlink ref="J36" location="Главная!A1" display="на главную"/>
  </hyperlinks>
  <printOptions/>
  <pageMargins left="0.33" right="0.29" top="0.28" bottom="0.37" header="0.17" footer="0.17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17.625" style="89" customWidth="1"/>
    <col min="2" max="2" width="10.875" style="90" customWidth="1"/>
    <col min="3" max="4" width="11.875" style="89" bestFit="1" customWidth="1"/>
    <col min="5" max="5" width="12.75390625" style="89" bestFit="1" customWidth="1"/>
    <col min="6" max="6" width="10.75390625" style="89" bestFit="1" customWidth="1"/>
    <col min="7" max="8" width="11.875" style="89" bestFit="1" customWidth="1"/>
    <col min="9" max="10" width="10.125" style="89" bestFit="1" customWidth="1"/>
    <col min="11" max="16384" width="9.125" style="89" customWidth="1"/>
  </cols>
  <sheetData>
    <row r="1" spans="1:10" ht="51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="81" customFormat="1" ht="12" customHeight="1">
      <c r="B2" s="82"/>
    </row>
    <row r="3" spans="1:10" s="81" customFormat="1" ht="18">
      <c r="A3" s="254" t="s">
        <v>140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s="81" customFormat="1" ht="14.25" customHeight="1">
      <c r="A4" s="84">
        <f>Главная!B2</f>
        <v>42989</v>
      </c>
      <c r="B4" s="83"/>
      <c r="C4" s="83"/>
      <c r="D4" s="83"/>
      <c r="E4" s="83"/>
      <c r="F4" s="83"/>
      <c r="G4" s="83"/>
      <c r="H4" s="83"/>
      <c r="I4" s="83"/>
      <c r="J4" s="83"/>
    </row>
    <row r="5" spans="1:14" s="81" customFormat="1" ht="14.25" customHeight="1">
      <c r="A5" s="126"/>
      <c r="B5" s="127"/>
      <c r="C5" s="127"/>
      <c r="D5" s="199" t="s">
        <v>338</v>
      </c>
      <c r="E5" s="199"/>
      <c r="F5" s="199"/>
      <c r="G5" s="199"/>
      <c r="H5" s="199"/>
      <c r="I5" s="127"/>
      <c r="J5" s="128" t="s">
        <v>3</v>
      </c>
      <c r="L5" s="129"/>
      <c r="M5" s="129"/>
      <c r="N5" s="129"/>
    </row>
    <row r="6" spans="1:14" s="81" customFormat="1" ht="15">
      <c r="A6" s="255" t="s">
        <v>147</v>
      </c>
      <c r="B6" s="255"/>
      <c r="C6" s="255"/>
      <c r="D6" s="255"/>
      <c r="E6" s="255"/>
      <c r="F6" s="255"/>
      <c r="G6" s="255"/>
      <c r="H6" s="255"/>
      <c r="I6" s="255"/>
      <c r="J6" s="255"/>
      <c r="K6" s="129"/>
      <c r="L6" s="129"/>
      <c r="M6" s="129"/>
      <c r="N6" s="129"/>
    </row>
    <row r="7" spans="1:14" s="81" customFormat="1" ht="21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9"/>
      <c r="L7" s="129"/>
      <c r="M7" s="129"/>
      <c r="N7" s="129"/>
    </row>
    <row r="8" spans="1:14" s="82" customFormat="1" ht="26.25" customHeight="1">
      <c r="A8" s="256" t="s">
        <v>141</v>
      </c>
      <c r="B8" s="256"/>
      <c r="C8" s="257" t="s">
        <v>392</v>
      </c>
      <c r="D8" s="257"/>
      <c r="E8" s="257"/>
      <c r="F8" s="257"/>
      <c r="G8" s="257"/>
      <c r="H8" s="257"/>
      <c r="I8" s="257"/>
      <c r="J8" s="257"/>
      <c r="K8" s="131"/>
      <c r="L8" s="131"/>
      <c r="M8" s="131"/>
      <c r="N8" s="131"/>
    </row>
    <row r="9" spans="1:14" s="81" customFormat="1" ht="29.25" customHeight="1">
      <c r="A9" s="256"/>
      <c r="B9" s="256"/>
      <c r="C9" s="132" t="s">
        <v>169</v>
      </c>
      <c r="D9" s="132" t="s">
        <v>170</v>
      </c>
      <c r="E9" s="133" t="s">
        <v>171</v>
      </c>
      <c r="F9" s="133" t="s">
        <v>172</v>
      </c>
      <c r="G9" s="133" t="s">
        <v>173</v>
      </c>
      <c r="H9" s="133" t="s">
        <v>174</v>
      </c>
      <c r="I9" s="133" t="s">
        <v>142</v>
      </c>
      <c r="J9" s="133" t="s">
        <v>143</v>
      </c>
      <c r="K9" s="134"/>
      <c r="L9" s="135"/>
      <c r="M9" s="134"/>
      <c r="N9" s="135"/>
    </row>
    <row r="10" spans="1:14" s="81" customFormat="1" ht="39.75" customHeight="1">
      <c r="A10" s="252" t="s">
        <v>175</v>
      </c>
      <c r="B10" s="252"/>
      <c r="C10" s="136">
        <f>16.3*Главная!B134</f>
        <v>511.82</v>
      </c>
      <c r="D10" s="136">
        <f>16.3*Главная!B134</f>
        <v>511.82</v>
      </c>
      <c r="E10" s="136">
        <f>16.9*Главная!B134</f>
        <v>530.66</v>
      </c>
      <c r="F10" s="136">
        <f>16.9*Главная!B134</f>
        <v>530.66</v>
      </c>
      <c r="G10" s="136">
        <f>16.9*Главная!B134</f>
        <v>530.66</v>
      </c>
      <c r="H10" s="136">
        <f>16.9*Главная!B134</f>
        <v>530.66</v>
      </c>
      <c r="I10" s="136">
        <f>59*Главная!B134</f>
        <v>1852.6</v>
      </c>
      <c r="J10" s="136">
        <f>115*Главная!B134</f>
        <v>3611</v>
      </c>
      <c r="K10" s="137"/>
      <c r="L10" s="134"/>
      <c r="M10" s="134"/>
      <c r="N10" s="134"/>
    </row>
    <row r="11" spans="1:14" s="81" customFormat="1" ht="39.75" customHeight="1">
      <c r="A11" s="253" t="s">
        <v>176</v>
      </c>
      <c r="B11" s="253"/>
      <c r="C11" s="87"/>
      <c r="D11" s="136">
        <f>18.9*Главная!B134</f>
        <v>593.4599999999999</v>
      </c>
      <c r="E11" s="136">
        <f>19.5*Главная!B134</f>
        <v>612.3</v>
      </c>
      <c r="F11" s="136">
        <f>19.5*Главная!B134</f>
        <v>612.3</v>
      </c>
      <c r="G11" s="136">
        <f>19.5*Главная!B134</f>
        <v>612.3</v>
      </c>
      <c r="H11" s="136"/>
      <c r="I11" s="136">
        <f>69*Главная!B134</f>
        <v>2166.6</v>
      </c>
      <c r="J11" s="87"/>
      <c r="K11" s="138"/>
      <c r="M11" s="139"/>
      <c r="N11" s="139"/>
    </row>
    <row r="12" spans="1:14" s="81" customFormat="1" ht="21" customHeight="1">
      <c r="A12" s="140"/>
      <c r="B12" s="140"/>
      <c r="C12" s="138"/>
      <c r="D12" s="137"/>
      <c r="E12" s="137"/>
      <c r="F12" s="137"/>
      <c r="G12" s="137"/>
      <c r="H12" s="137"/>
      <c r="I12" s="137"/>
      <c r="J12" s="138"/>
      <c r="K12" s="138"/>
      <c r="L12" s="139"/>
      <c r="M12" s="139"/>
      <c r="N12" s="139"/>
    </row>
    <row r="13" spans="1:14" s="81" customFormat="1" ht="39.75" customHeight="1">
      <c r="A13" s="86" t="s">
        <v>177</v>
      </c>
      <c r="B13" s="140"/>
      <c r="C13" s="138"/>
      <c r="D13" s="137"/>
      <c r="E13" s="137"/>
      <c r="F13" s="137"/>
      <c r="G13" s="137"/>
      <c r="H13" s="137"/>
      <c r="I13" s="137"/>
      <c r="J13" s="138"/>
      <c r="K13" s="138"/>
      <c r="L13" s="139"/>
      <c r="M13" s="139"/>
      <c r="N13" s="139"/>
    </row>
    <row r="14" spans="1:14" s="81" customFormat="1" ht="20.25" customHeight="1">
      <c r="A14" s="242" t="s">
        <v>178</v>
      </c>
      <c r="B14" s="242"/>
      <c r="C14" s="242"/>
      <c r="D14" s="243" t="s">
        <v>405</v>
      </c>
      <c r="E14" s="243"/>
      <c r="F14" s="137"/>
      <c r="G14" s="137"/>
      <c r="H14" s="137"/>
      <c r="I14" s="137"/>
      <c r="J14" s="138"/>
      <c r="K14" s="138"/>
      <c r="L14" s="139"/>
      <c r="M14" s="139"/>
      <c r="N14" s="139"/>
    </row>
    <row r="15" spans="1:14" s="81" customFormat="1" ht="27" customHeight="1">
      <c r="A15" s="242" t="s">
        <v>179</v>
      </c>
      <c r="B15" s="242"/>
      <c r="C15" s="242"/>
      <c r="D15" s="243" t="s">
        <v>406</v>
      </c>
      <c r="E15" s="243"/>
      <c r="F15" s="137"/>
      <c r="G15" s="137"/>
      <c r="H15" s="137"/>
      <c r="I15" s="137"/>
      <c r="J15" s="138"/>
      <c r="K15" s="138"/>
      <c r="L15" s="139"/>
      <c r="M15" s="139"/>
      <c r="N15" s="139"/>
    </row>
    <row r="16" spans="1:14" s="81" customFormat="1" ht="20.25" customHeight="1">
      <c r="A16" s="242" t="s">
        <v>180</v>
      </c>
      <c r="B16" s="242"/>
      <c r="C16" s="242"/>
      <c r="D16" s="243" t="s">
        <v>405</v>
      </c>
      <c r="E16" s="243"/>
      <c r="F16" s="137"/>
      <c r="G16" s="137"/>
      <c r="H16" s="137"/>
      <c r="I16" s="137"/>
      <c r="J16" s="138"/>
      <c r="K16" s="138"/>
      <c r="L16" s="139"/>
      <c r="M16" s="139"/>
      <c r="N16" s="139"/>
    </row>
    <row r="17" spans="1:14" s="81" customFormat="1" ht="20.25" customHeight="1">
      <c r="A17" s="242" t="s">
        <v>181</v>
      </c>
      <c r="B17" s="242"/>
      <c r="C17" s="242"/>
      <c r="D17" s="243" t="s">
        <v>405</v>
      </c>
      <c r="E17" s="243"/>
      <c r="F17" s="137"/>
      <c r="G17" s="137"/>
      <c r="H17" s="137"/>
      <c r="I17" s="137"/>
      <c r="J17" s="138"/>
      <c r="K17" s="138"/>
      <c r="L17" s="139"/>
      <c r="M17" s="139"/>
      <c r="N17" s="139"/>
    </row>
    <row r="18" spans="1:14" s="81" customFormat="1" ht="20.25" customHeight="1">
      <c r="A18" s="140"/>
      <c r="B18" s="140"/>
      <c r="C18" s="138"/>
      <c r="D18" s="137"/>
      <c r="E18" s="137"/>
      <c r="F18" s="137"/>
      <c r="G18" s="137"/>
      <c r="H18" s="137"/>
      <c r="I18" s="137"/>
      <c r="J18" s="138"/>
      <c r="K18" s="138"/>
      <c r="L18" s="139"/>
      <c r="M18" s="139"/>
      <c r="N18" s="139"/>
    </row>
    <row r="19" s="81" customFormat="1" ht="16.5" customHeight="1">
      <c r="B19" s="82"/>
    </row>
    <row r="20" spans="1:2" s="93" customFormat="1" ht="19.5" customHeight="1">
      <c r="A20" s="91" t="s">
        <v>144</v>
      </c>
      <c r="B20" s="92"/>
    </row>
    <row r="21" s="93" customFormat="1" ht="17.25" customHeight="1">
      <c r="B21" s="92"/>
    </row>
    <row r="22" spans="1:10" s="93" customFormat="1" ht="35.25" customHeight="1">
      <c r="A22" s="94" t="s">
        <v>77</v>
      </c>
      <c r="B22" s="141" t="s">
        <v>182</v>
      </c>
      <c r="C22" s="141" t="s">
        <v>183</v>
      </c>
      <c r="D22" s="95"/>
      <c r="E22" s="95"/>
      <c r="F22" s="95"/>
      <c r="G22" s="95"/>
      <c r="H22" s="95"/>
      <c r="I22" s="95"/>
      <c r="J22" s="95"/>
    </row>
    <row r="23" spans="1:10" s="93" customFormat="1" ht="15" customHeight="1">
      <c r="A23" s="96"/>
      <c r="B23" s="95"/>
      <c r="C23" s="95"/>
      <c r="D23" s="95"/>
      <c r="E23" s="95"/>
      <c r="F23" s="95"/>
      <c r="G23" s="95"/>
      <c r="H23" s="95"/>
      <c r="I23" s="95"/>
      <c r="J23" s="95"/>
    </row>
    <row r="24" spans="1:10" s="93" customFormat="1" ht="33.75" customHeight="1">
      <c r="A24" s="249" t="s">
        <v>171</v>
      </c>
      <c r="B24" s="142" t="s">
        <v>184</v>
      </c>
      <c r="C24" s="142" t="s">
        <v>185</v>
      </c>
      <c r="D24" s="142" t="s">
        <v>186</v>
      </c>
      <c r="E24" s="142" t="s">
        <v>187</v>
      </c>
      <c r="F24" s="142" t="s">
        <v>188</v>
      </c>
      <c r="G24" s="142" t="s">
        <v>189</v>
      </c>
      <c r="H24" s="142" t="s">
        <v>190</v>
      </c>
      <c r="I24" s="142" t="s">
        <v>191</v>
      </c>
      <c r="J24" s="142" t="s">
        <v>192</v>
      </c>
    </row>
    <row r="25" spans="1:10" s="93" customFormat="1" ht="33.75" customHeight="1">
      <c r="A25" s="250"/>
      <c r="B25" s="142" t="s">
        <v>193</v>
      </c>
      <c r="C25" s="142" t="s">
        <v>194</v>
      </c>
      <c r="D25" s="142" t="s">
        <v>195</v>
      </c>
      <c r="E25" s="142" t="s">
        <v>196</v>
      </c>
      <c r="F25" s="142" t="s">
        <v>197</v>
      </c>
      <c r="G25" s="142" t="s">
        <v>198</v>
      </c>
      <c r="H25" s="142" t="s">
        <v>199</v>
      </c>
      <c r="I25" s="142" t="s">
        <v>200</v>
      </c>
      <c r="J25" s="142" t="s">
        <v>201</v>
      </c>
    </row>
    <row r="26" spans="1:10" s="93" customFormat="1" ht="33.75" customHeight="1">
      <c r="A26" s="250"/>
      <c r="B26" s="142" t="s">
        <v>202</v>
      </c>
      <c r="C26" s="142" t="s">
        <v>203</v>
      </c>
      <c r="D26" s="142" t="s">
        <v>204</v>
      </c>
      <c r="E26" s="142" t="s">
        <v>205</v>
      </c>
      <c r="F26" s="142" t="s">
        <v>206</v>
      </c>
      <c r="G26" s="142" t="s">
        <v>207</v>
      </c>
      <c r="H26" s="142" t="s">
        <v>208</v>
      </c>
      <c r="I26" s="142" t="s">
        <v>209</v>
      </c>
      <c r="J26" s="142" t="s">
        <v>210</v>
      </c>
    </row>
    <row r="27" spans="1:12" s="93" customFormat="1" ht="33.75" customHeight="1">
      <c r="A27" s="250"/>
      <c r="B27" s="142" t="s">
        <v>211</v>
      </c>
      <c r="C27" s="142" t="s">
        <v>212</v>
      </c>
      <c r="I27" s="143"/>
      <c r="J27" s="143"/>
      <c r="K27" s="143"/>
      <c r="L27" s="143"/>
    </row>
    <row r="28" spans="1:10" s="93" customFormat="1" ht="12.75" customHeight="1">
      <c r="A28" s="96"/>
      <c r="B28" s="95"/>
      <c r="C28" s="95"/>
      <c r="D28" s="95"/>
      <c r="E28" s="95"/>
      <c r="F28" s="95"/>
      <c r="G28" s="95"/>
      <c r="H28" s="95"/>
      <c r="I28" s="95"/>
      <c r="J28" s="95"/>
    </row>
    <row r="29" spans="1:10" s="93" customFormat="1" ht="24" customHeight="1">
      <c r="A29" s="248" t="s">
        <v>172</v>
      </c>
      <c r="B29" s="141" t="s">
        <v>213</v>
      </c>
      <c r="C29" s="141" t="s">
        <v>214</v>
      </c>
      <c r="D29" s="141" t="s">
        <v>215</v>
      </c>
      <c r="E29" s="141" t="s">
        <v>216</v>
      </c>
      <c r="F29" s="141" t="s">
        <v>217</v>
      </c>
      <c r="G29" s="141" t="s">
        <v>218</v>
      </c>
      <c r="H29" s="141" t="s">
        <v>219</v>
      </c>
      <c r="I29" s="141" t="s">
        <v>220</v>
      </c>
      <c r="J29" s="141" t="s">
        <v>221</v>
      </c>
    </row>
    <row r="30" spans="1:10" s="93" customFormat="1" ht="24" customHeight="1">
      <c r="A30" s="248"/>
      <c r="B30" s="141" t="s">
        <v>222</v>
      </c>
      <c r="C30" s="141" t="s">
        <v>223</v>
      </c>
      <c r="D30" s="141" t="s">
        <v>224</v>
      </c>
      <c r="E30" s="141" t="s">
        <v>225</v>
      </c>
      <c r="F30" s="141" t="s">
        <v>226</v>
      </c>
      <c r="G30" s="141" t="s">
        <v>227</v>
      </c>
      <c r="H30" s="141" t="s">
        <v>228</v>
      </c>
      <c r="I30" s="141" t="s">
        <v>229</v>
      </c>
      <c r="J30" s="141" t="s">
        <v>230</v>
      </c>
    </row>
    <row r="31" spans="1:10" s="93" customFormat="1" ht="24" customHeight="1">
      <c r="A31" s="248"/>
      <c r="B31" s="141" t="s">
        <v>231</v>
      </c>
      <c r="C31" s="141" t="s">
        <v>232</v>
      </c>
      <c r="D31" s="141" t="s">
        <v>233</v>
      </c>
      <c r="E31" s="141" t="s">
        <v>234</v>
      </c>
      <c r="F31" s="141" t="s">
        <v>235</v>
      </c>
      <c r="G31" s="141" t="s">
        <v>236</v>
      </c>
      <c r="H31" s="141" t="s">
        <v>237</v>
      </c>
      <c r="I31" s="141" t="s">
        <v>238</v>
      </c>
      <c r="J31" s="141" t="s">
        <v>239</v>
      </c>
    </row>
    <row r="32" spans="1:10" s="93" customFormat="1" ht="24" customHeight="1">
      <c r="A32" s="248"/>
      <c r="B32" s="141" t="s">
        <v>240</v>
      </c>
      <c r="C32" s="141" t="s">
        <v>241</v>
      </c>
      <c r="D32" s="141" t="s">
        <v>242</v>
      </c>
      <c r="E32" s="141" t="s">
        <v>243</v>
      </c>
      <c r="F32" s="141" t="s">
        <v>244</v>
      </c>
      <c r="G32" s="141" t="s">
        <v>245</v>
      </c>
      <c r="H32" s="141" t="s">
        <v>246</v>
      </c>
      <c r="I32" s="141" t="s">
        <v>247</v>
      </c>
      <c r="J32" s="141" t="s">
        <v>248</v>
      </c>
    </row>
    <row r="33" spans="1:10" s="93" customFormat="1" ht="24" customHeight="1">
      <c r="A33" s="248"/>
      <c r="B33" s="141" t="s">
        <v>249</v>
      </c>
      <c r="C33" s="141" t="s">
        <v>250</v>
      </c>
      <c r="D33" s="141" t="s">
        <v>251</v>
      </c>
      <c r="E33" s="141" t="s">
        <v>252</v>
      </c>
      <c r="F33" s="141" t="s">
        <v>253</v>
      </c>
      <c r="G33" s="141" t="s">
        <v>254</v>
      </c>
      <c r="H33" s="141" t="s">
        <v>255</v>
      </c>
      <c r="I33" s="141" t="s">
        <v>256</v>
      </c>
      <c r="J33" s="141" t="s">
        <v>257</v>
      </c>
    </row>
    <row r="34" spans="1:10" s="93" customFormat="1" ht="24" customHeight="1">
      <c r="A34" s="248"/>
      <c r="B34" s="141" t="s">
        <v>258</v>
      </c>
      <c r="C34" s="141" t="s">
        <v>259</v>
      </c>
      <c r="D34" s="141" t="s">
        <v>260</v>
      </c>
      <c r="E34" s="141" t="s">
        <v>261</v>
      </c>
      <c r="F34" s="141" t="s">
        <v>262</v>
      </c>
      <c r="G34" s="141" t="s">
        <v>263</v>
      </c>
      <c r="H34" s="141" t="s">
        <v>264</v>
      </c>
      <c r="I34" s="141" t="s">
        <v>265</v>
      </c>
      <c r="J34" s="141" t="s">
        <v>266</v>
      </c>
    </row>
    <row r="35" spans="1:10" s="93" customFormat="1" ht="24" customHeight="1">
      <c r="A35" s="248"/>
      <c r="B35" s="141" t="s">
        <v>267</v>
      </c>
      <c r="C35" s="141" t="s">
        <v>268</v>
      </c>
      <c r="D35" s="141" t="s">
        <v>269</v>
      </c>
      <c r="E35" s="141" t="s">
        <v>270</v>
      </c>
      <c r="F35" s="141" t="s">
        <v>271</v>
      </c>
      <c r="G35" s="141" t="s">
        <v>272</v>
      </c>
      <c r="H35" s="141" t="s">
        <v>273</v>
      </c>
      <c r="I35" s="141" t="s">
        <v>274</v>
      </c>
      <c r="J35" s="141" t="s">
        <v>275</v>
      </c>
    </row>
    <row r="36" spans="1:9" s="93" customFormat="1" ht="24" customHeight="1">
      <c r="A36" s="248"/>
      <c r="B36" s="141" t="s">
        <v>276</v>
      </c>
      <c r="C36" s="141" t="s">
        <v>277</v>
      </c>
      <c r="D36" s="141" t="s">
        <v>278</v>
      </c>
      <c r="E36" s="141" t="s">
        <v>279</v>
      </c>
      <c r="F36" s="141" t="s">
        <v>280</v>
      </c>
      <c r="G36" s="141" t="s">
        <v>281</v>
      </c>
      <c r="H36" s="141" t="s">
        <v>282</v>
      </c>
      <c r="I36" s="141" t="s">
        <v>283</v>
      </c>
    </row>
    <row r="37" spans="1:10" s="93" customFormat="1" ht="24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s="93" customFormat="1" ht="24" customHeight="1">
      <c r="A38" s="244" t="s">
        <v>145</v>
      </c>
      <c r="B38" s="142" t="s">
        <v>284</v>
      </c>
      <c r="C38" s="142" t="s">
        <v>285</v>
      </c>
      <c r="D38" s="142" t="s">
        <v>286</v>
      </c>
      <c r="E38" s="142" t="s">
        <v>287</v>
      </c>
      <c r="F38" s="142" t="s">
        <v>288</v>
      </c>
      <c r="G38" s="142" t="s">
        <v>289</v>
      </c>
      <c r="H38" s="142" t="s">
        <v>290</v>
      </c>
      <c r="I38" s="142" t="s">
        <v>291</v>
      </c>
      <c r="J38" s="142" t="s">
        <v>292</v>
      </c>
    </row>
    <row r="39" spans="1:10" s="93" customFormat="1" ht="24" customHeight="1">
      <c r="A39" s="245"/>
      <c r="B39" s="142" t="s">
        <v>293</v>
      </c>
      <c r="C39" s="142" t="s">
        <v>294</v>
      </c>
      <c r="D39" s="142" t="s">
        <v>295</v>
      </c>
      <c r="E39" s="142" t="s">
        <v>296</v>
      </c>
      <c r="F39" s="142" t="s">
        <v>297</v>
      </c>
      <c r="G39" s="142" t="s">
        <v>298</v>
      </c>
      <c r="H39" s="142" t="s">
        <v>299</v>
      </c>
      <c r="I39" s="142" t="s">
        <v>300</v>
      </c>
      <c r="J39" s="142" t="s">
        <v>301</v>
      </c>
    </row>
    <row r="40" spans="1:5" s="93" customFormat="1" ht="24" customHeight="1">
      <c r="A40" s="245"/>
      <c r="B40" s="142" t="s">
        <v>302</v>
      </c>
      <c r="C40" s="142" t="s">
        <v>303</v>
      </c>
      <c r="D40" s="142" t="s">
        <v>304</v>
      </c>
      <c r="E40" s="142" t="s">
        <v>305</v>
      </c>
    </row>
    <row r="41" spans="1:10" s="93" customFormat="1" ht="27" customHeight="1">
      <c r="A41" s="96"/>
      <c r="B41" s="95"/>
      <c r="C41" s="95"/>
      <c r="D41" s="95"/>
      <c r="E41" s="95"/>
      <c r="F41" s="95"/>
      <c r="G41" s="95"/>
      <c r="H41" s="95"/>
      <c r="I41" s="95"/>
      <c r="J41" s="95"/>
    </row>
    <row r="42" spans="1:10" s="93" customFormat="1" ht="24" customHeight="1">
      <c r="A42" s="246" t="s">
        <v>306</v>
      </c>
      <c r="B42" s="146" t="s">
        <v>307</v>
      </c>
      <c r="C42" s="146" t="s">
        <v>308</v>
      </c>
      <c r="D42" s="146" t="s">
        <v>309</v>
      </c>
      <c r="E42" s="146" t="s">
        <v>310</v>
      </c>
      <c r="F42" s="146" t="s">
        <v>311</v>
      </c>
      <c r="G42" s="146" t="s">
        <v>312</v>
      </c>
      <c r="H42" s="146" t="s">
        <v>313</v>
      </c>
      <c r="I42" s="146" t="s">
        <v>314</v>
      </c>
      <c r="J42" s="146" t="s">
        <v>315</v>
      </c>
    </row>
    <row r="43" spans="1:10" s="93" customFormat="1" ht="24" customHeight="1">
      <c r="A43" s="247"/>
      <c r="B43" s="146" t="s">
        <v>316</v>
      </c>
      <c r="C43" s="146" t="s">
        <v>317</v>
      </c>
      <c r="D43" s="146" t="s">
        <v>318</v>
      </c>
      <c r="E43" s="146" t="s">
        <v>319</v>
      </c>
      <c r="F43" s="146" t="s">
        <v>320</v>
      </c>
      <c r="G43" s="146" t="s">
        <v>321</v>
      </c>
      <c r="H43" s="146" t="s">
        <v>322</v>
      </c>
      <c r="I43" s="146" t="s">
        <v>323</v>
      </c>
      <c r="J43" s="146" t="s">
        <v>324</v>
      </c>
    </row>
    <row r="44" spans="1:12" s="93" customFormat="1" ht="24" customHeight="1">
      <c r="A44" s="247"/>
      <c r="B44" s="146" t="s">
        <v>325</v>
      </c>
      <c r="C44" s="146" t="s">
        <v>326</v>
      </c>
      <c r="D44" s="146" t="s">
        <v>327</v>
      </c>
      <c r="E44" s="146" t="s">
        <v>328</v>
      </c>
      <c r="F44" s="146" t="s">
        <v>329</v>
      </c>
      <c r="G44" s="146" t="s">
        <v>330</v>
      </c>
      <c r="H44" s="146" t="s">
        <v>331</v>
      </c>
      <c r="I44" s="146" t="s">
        <v>332</v>
      </c>
      <c r="J44" s="146" t="s">
        <v>333</v>
      </c>
      <c r="K44" s="143"/>
      <c r="L44" s="143"/>
    </row>
    <row r="45" spans="1:12" s="93" customFormat="1" ht="24" customHeight="1">
      <c r="A45" s="247"/>
      <c r="B45" s="146" t="s">
        <v>334</v>
      </c>
      <c r="C45" s="146" t="s">
        <v>335</v>
      </c>
      <c r="I45" s="143"/>
      <c r="J45" s="143"/>
      <c r="K45" s="143"/>
      <c r="L45" s="143"/>
    </row>
    <row r="46" spans="1:10" s="93" customFormat="1" ht="24" customHeight="1">
      <c r="A46" s="98"/>
      <c r="B46" s="99"/>
      <c r="C46" s="100"/>
      <c r="D46" s="100"/>
      <c r="E46" s="100"/>
      <c r="F46" s="100"/>
      <c r="G46" s="100"/>
      <c r="H46" s="100"/>
      <c r="I46" s="100"/>
      <c r="J46" s="100"/>
    </row>
    <row r="47" spans="1:10" s="93" customFormat="1" ht="24" customHeight="1">
      <c r="A47" s="102" t="s">
        <v>142</v>
      </c>
      <c r="B47" s="97">
        <v>6055</v>
      </c>
      <c r="C47" s="97">
        <v>6060</v>
      </c>
      <c r="D47" s="100"/>
      <c r="E47" s="100"/>
      <c r="F47" s="100"/>
      <c r="G47" s="100"/>
      <c r="H47" s="100"/>
      <c r="I47" s="100"/>
      <c r="J47" s="100"/>
    </row>
    <row r="48" spans="1:10" s="93" customFormat="1" ht="21.75" customHeight="1">
      <c r="A48" s="98"/>
      <c r="B48" s="99"/>
      <c r="C48" s="100"/>
      <c r="D48" s="100"/>
      <c r="E48" s="100"/>
      <c r="F48" s="100"/>
      <c r="G48" s="100"/>
      <c r="H48" s="100"/>
      <c r="I48" s="100"/>
      <c r="J48" s="100"/>
    </row>
    <row r="49" spans="1:10" s="93" customFormat="1" ht="24" customHeight="1">
      <c r="A49" s="147" t="s">
        <v>146</v>
      </c>
      <c r="B49" s="101" t="s">
        <v>336</v>
      </c>
      <c r="C49" s="148">
        <v>190</v>
      </c>
      <c r="D49" s="100"/>
      <c r="E49" s="100"/>
      <c r="F49" s="100"/>
      <c r="G49" s="100"/>
      <c r="H49" s="100"/>
      <c r="I49" s="100"/>
      <c r="J49" s="100"/>
    </row>
    <row r="50" spans="1:10" s="81" customFormat="1" ht="12.75">
      <c r="A50" s="85"/>
      <c r="B50" s="82"/>
      <c r="C50" s="88"/>
      <c r="D50" s="88"/>
      <c r="E50" s="88"/>
      <c r="F50" s="88"/>
      <c r="G50" s="88"/>
      <c r="H50" s="88"/>
      <c r="I50" s="88"/>
      <c r="J50" s="88"/>
    </row>
    <row r="51" spans="2:10" s="81" customFormat="1" ht="12.75">
      <c r="B51" s="82"/>
      <c r="C51" s="88"/>
      <c r="D51" s="88"/>
      <c r="E51" s="88"/>
      <c r="F51" s="88"/>
      <c r="G51" s="88"/>
      <c r="H51" s="88"/>
      <c r="I51" s="88"/>
      <c r="J51" s="88"/>
    </row>
    <row r="52" s="81" customFormat="1" ht="12.75">
      <c r="B52" s="82"/>
    </row>
    <row r="53" s="81" customFormat="1" ht="12.75">
      <c r="B53" s="82"/>
    </row>
    <row r="54" s="81" customFormat="1" ht="12.75">
      <c r="B54" s="82"/>
    </row>
    <row r="55" s="81" customFormat="1" ht="12.75">
      <c r="B55" s="82"/>
    </row>
    <row r="56" s="81" customFormat="1" ht="12.75">
      <c r="B56" s="82"/>
    </row>
    <row r="57" s="81" customFormat="1" ht="12.75">
      <c r="B57" s="82"/>
    </row>
    <row r="58" s="81" customFormat="1" ht="12.75">
      <c r="B58" s="82"/>
    </row>
    <row r="59" s="81" customFormat="1" ht="12.75">
      <c r="B59" s="82"/>
    </row>
    <row r="60" s="81" customFormat="1" ht="12.75">
      <c r="B60" s="82"/>
    </row>
    <row r="61" s="81" customFormat="1" ht="12.75">
      <c r="B61" s="82"/>
    </row>
    <row r="62" s="81" customFormat="1" ht="12.75">
      <c r="B62" s="82"/>
    </row>
    <row r="63" s="81" customFormat="1" ht="12.75">
      <c r="B63" s="82"/>
    </row>
    <row r="64" s="81" customFormat="1" ht="12.75">
      <c r="B64" s="82"/>
    </row>
    <row r="65" s="81" customFormat="1" ht="12.75">
      <c r="B65" s="82"/>
    </row>
    <row r="66" s="81" customFormat="1" ht="12.75">
      <c r="B66" s="82"/>
    </row>
    <row r="67" s="81" customFormat="1" ht="12.75">
      <c r="B67" s="82"/>
    </row>
    <row r="68" s="81" customFormat="1" ht="12.75">
      <c r="B68" s="82"/>
    </row>
    <row r="69" s="81" customFormat="1" ht="12.75">
      <c r="B69" s="82"/>
    </row>
    <row r="70" s="81" customFormat="1" ht="12.75">
      <c r="B70" s="82"/>
    </row>
    <row r="71" s="81" customFormat="1" ht="12.75">
      <c r="B71" s="82"/>
    </row>
    <row r="72" s="81" customFormat="1" ht="12.75">
      <c r="B72" s="82"/>
    </row>
    <row r="73" s="81" customFormat="1" ht="12.75">
      <c r="B73" s="82"/>
    </row>
    <row r="74" s="81" customFormat="1" ht="12.75">
      <c r="B74" s="82"/>
    </row>
    <row r="75" s="81" customFormat="1" ht="12.75">
      <c r="B75" s="82"/>
    </row>
    <row r="76" s="81" customFormat="1" ht="12.75">
      <c r="B76" s="82"/>
    </row>
    <row r="77" s="81" customFormat="1" ht="12.75">
      <c r="B77" s="82"/>
    </row>
    <row r="78" s="81" customFormat="1" ht="12.75">
      <c r="B78" s="82"/>
    </row>
    <row r="79" s="81" customFormat="1" ht="12.75">
      <c r="B79" s="82"/>
    </row>
    <row r="80" s="81" customFormat="1" ht="12.75">
      <c r="B80" s="82"/>
    </row>
    <row r="81" s="81" customFormat="1" ht="12.75">
      <c r="B81" s="82"/>
    </row>
    <row r="82" s="81" customFormat="1" ht="12.75">
      <c r="B82" s="82"/>
    </row>
    <row r="83" s="81" customFormat="1" ht="12.75">
      <c r="B83" s="82"/>
    </row>
    <row r="84" s="81" customFormat="1" ht="12.75">
      <c r="B84" s="82"/>
    </row>
    <row r="85" s="81" customFormat="1" ht="12.75">
      <c r="B85" s="82"/>
    </row>
    <row r="86" s="81" customFormat="1" ht="12.75">
      <c r="B86" s="82"/>
    </row>
    <row r="87" s="81" customFormat="1" ht="12.75">
      <c r="B87" s="82"/>
    </row>
    <row r="88" s="81" customFormat="1" ht="12.75">
      <c r="B88" s="82"/>
    </row>
    <row r="89" s="81" customFormat="1" ht="12.75">
      <c r="B89" s="82"/>
    </row>
    <row r="90" s="81" customFormat="1" ht="12.75">
      <c r="B90" s="82"/>
    </row>
    <row r="91" s="81" customFormat="1" ht="12.75">
      <c r="B91" s="82"/>
    </row>
    <row r="92" s="81" customFormat="1" ht="12.75">
      <c r="B92" s="82"/>
    </row>
    <row r="93" s="81" customFormat="1" ht="12.75">
      <c r="B93" s="82"/>
    </row>
    <row r="94" s="81" customFormat="1" ht="12.75">
      <c r="B94" s="82"/>
    </row>
    <row r="95" s="81" customFormat="1" ht="12.75">
      <c r="B95" s="82"/>
    </row>
    <row r="96" s="81" customFormat="1" ht="12.75">
      <c r="B96" s="82"/>
    </row>
    <row r="97" s="81" customFormat="1" ht="12.75">
      <c r="B97" s="82"/>
    </row>
    <row r="98" s="81" customFormat="1" ht="12.75">
      <c r="B98" s="82"/>
    </row>
    <row r="99" s="81" customFormat="1" ht="12.75">
      <c r="B99" s="82"/>
    </row>
  </sheetData>
  <sheetProtection/>
  <mergeCells count="20">
    <mergeCell ref="A6:J6"/>
    <mergeCell ref="A8:B9"/>
    <mergeCell ref="C8:J8"/>
    <mergeCell ref="D5:H5"/>
    <mergeCell ref="A1:J1"/>
    <mergeCell ref="A15:C15"/>
    <mergeCell ref="D15:E15"/>
    <mergeCell ref="A16:C16"/>
    <mergeCell ref="D16:E16"/>
    <mergeCell ref="A10:B10"/>
    <mergeCell ref="A11:B11"/>
    <mergeCell ref="A14:C14"/>
    <mergeCell ref="D14:E14"/>
    <mergeCell ref="A3:J3"/>
    <mergeCell ref="A17:C17"/>
    <mergeCell ref="D17:E17"/>
    <mergeCell ref="A38:A40"/>
    <mergeCell ref="A42:A45"/>
    <mergeCell ref="A29:A36"/>
    <mergeCell ref="A24:A27"/>
  </mergeCells>
  <hyperlinks>
    <hyperlink ref="J5" location="Главная!A1" display="на главную"/>
    <hyperlink ref="K49" location="Главная!A1" display="на главную"/>
  </hyperlinks>
  <printOptions/>
  <pageMargins left="0.4" right="0.36" top="0.53" bottom="0.52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workbookViewId="0" topLeftCell="A1">
      <selection activeCell="T34" sqref="T34"/>
    </sheetView>
  </sheetViews>
  <sheetFormatPr defaultColWidth="9.00390625" defaultRowHeight="12.75"/>
  <cols>
    <col min="1" max="1" width="10.125" style="0" bestFit="1" customWidth="1"/>
    <col min="3" max="3" width="14.00390625" style="0" customWidth="1"/>
    <col min="4" max="4" width="7.375" style="0" customWidth="1"/>
    <col min="7" max="7" width="6.00390625" style="0" customWidth="1"/>
    <col min="8" max="9" width="6.25390625" style="0" customWidth="1"/>
    <col min="10" max="10" width="13.125" style="0" customWidth="1"/>
    <col min="11" max="13" width="12.375" style="0" customWidth="1"/>
  </cols>
  <sheetData>
    <row r="1" ht="53.25" customHeight="1"/>
    <row r="2" spans="1:13" ht="19.5" customHeight="1">
      <c r="A2" s="259" t="s">
        <v>358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4" ht="12.75">
      <c r="A4" s="170">
        <f>Главная!B2</f>
        <v>42989</v>
      </c>
    </row>
    <row r="6" spans="1:13" ht="15.75" customHeight="1">
      <c r="A6" s="257" t="s">
        <v>359</v>
      </c>
      <c r="B6" s="257"/>
      <c r="C6" s="257" t="s">
        <v>386</v>
      </c>
      <c r="D6" s="257"/>
      <c r="E6" s="257"/>
      <c r="F6" s="257"/>
      <c r="G6" s="157"/>
      <c r="H6" s="257" t="s">
        <v>360</v>
      </c>
      <c r="I6" s="257"/>
      <c r="J6" s="158"/>
      <c r="K6" s="257" t="s">
        <v>386</v>
      </c>
      <c r="L6" s="257"/>
      <c r="M6" s="257"/>
    </row>
    <row r="7" spans="1:13" ht="38.25" customHeight="1">
      <c r="A7" s="257"/>
      <c r="B7" s="257"/>
      <c r="C7" s="260" t="s">
        <v>361</v>
      </c>
      <c r="D7" s="261"/>
      <c r="E7" s="252" t="s">
        <v>362</v>
      </c>
      <c r="F7" s="252"/>
      <c r="H7" s="257"/>
      <c r="I7" s="257"/>
      <c r="J7" s="132" t="s">
        <v>363</v>
      </c>
      <c r="K7" s="132" t="s">
        <v>364</v>
      </c>
      <c r="L7" s="132" t="s">
        <v>365</v>
      </c>
      <c r="M7" s="132" t="s">
        <v>362</v>
      </c>
    </row>
    <row r="8" spans="1:13" ht="16.5" customHeight="1">
      <c r="A8" s="252" t="s">
        <v>366</v>
      </c>
      <c r="B8" s="252"/>
      <c r="C8" s="258">
        <f>52*Главная!B134</f>
        <v>1632.8</v>
      </c>
      <c r="D8" s="258"/>
      <c r="E8" s="258"/>
      <c r="F8" s="258"/>
      <c r="H8" s="252" t="s">
        <v>367</v>
      </c>
      <c r="I8" s="252"/>
      <c r="J8" s="159" t="s">
        <v>77</v>
      </c>
      <c r="K8" s="160">
        <f>11.8*Главная!B134</f>
        <v>370.52</v>
      </c>
      <c r="L8" s="161">
        <f>21.5*Главная!B134</f>
        <v>675.1</v>
      </c>
      <c r="M8" s="136">
        <f>25.5*Главная!B134</f>
        <v>800.6999999999999</v>
      </c>
    </row>
    <row r="9" spans="1:13" ht="16.5" customHeight="1">
      <c r="A9" s="252" t="s">
        <v>368</v>
      </c>
      <c r="B9" s="252"/>
      <c r="C9" s="258">
        <f>64*Главная!B134</f>
        <v>2009.6</v>
      </c>
      <c r="D9" s="258"/>
      <c r="E9" s="258"/>
      <c r="F9" s="258"/>
      <c r="H9" s="252"/>
      <c r="I9" s="252"/>
      <c r="J9" s="159" t="s">
        <v>162</v>
      </c>
      <c r="K9" s="160">
        <f>12*Главная!B134</f>
        <v>376.79999999999995</v>
      </c>
      <c r="L9" s="161">
        <f>21.8*Главная!B134</f>
        <v>684.52</v>
      </c>
      <c r="M9" s="136">
        <f>26*Главная!B134</f>
        <v>816.4</v>
      </c>
    </row>
    <row r="10" spans="1:13" ht="16.5" customHeight="1">
      <c r="A10" s="252" t="s">
        <v>369</v>
      </c>
      <c r="B10" s="252"/>
      <c r="C10" s="258">
        <f>76*Главная!B134</f>
        <v>2386.4</v>
      </c>
      <c r="D10" s="258"/>
      <c r="E10" s="258"/>
      <c r="F10" s="258"/>
      <c r="H10" s="252"/>
      <c r="I10" s="252"/>
      <c r="J10" s="159" t="s">
        <v>163</v>
      </c>
      <c r="K10" s="160">
        <f>12.3*Главная!B134</f>
        <v>386.22</v>
      </c>
      <c r="L10" s="161">
        <f>22*Главная!B134</f>
        <v>690.8</v>
      </c>
      <c r="M10" s="136">
        <f>26.3*Главная!B134</f>
        <v>825.8199999999999</v>
      </c>
    </row>
    <row r="11" spans="1:13" ht="16.5" customHeight="1">
      <c r="A11" s="252" t="s">
        <v>370</v>
      </c>
      <c r="B11" s="252"/>
      <c r="C11" s="258">
        <f>99*Главная!B134</f>
        <v>3108.6</v>
      </c>
      <c r="D11" s="258"/>
      <c r="E11" s="258">
        <f>129*Главная!B134</f>
        <v>4050.6</v>
      </c>
      <c r="F11" s="258"/>
      <c r="H11" s="252"/>
      <c r="I11" s="252"/>
      <c r="J11" s="159" t="s">
        <v>371</v>
      </c>
      <c r="K11" s="160">
        <f>12.5*Главная!B134</f>
        <v>392.5</v>
      </c>
      <c r="L11" s="161">
        <f>22.3*Главная!B134</f>
        <v>700.22</v>
      </c>
      <c r="M11" s="136">
        <f>26.5*Главная!B134</f>
        <v>832.0999999999999</v>
      </c>
    </row>
    <row r="12" spans="1:13" ht="16.5" customHeight="1">
      <c r="A12" s="252" t="s">
        <v>372</v>
      </c>
      <c r="B12" s="252"/>
      <c r="C12" s="258">
        <f>121*Главная!B134</f>
        <v>3799.3999999999996</v>
      </c>
      <c r="D12" s="258"/>
      <c r="E12" s="258">
        <f>152*Главная!B134</f>
        <v>4772.8</v>
      </c>
      <c r="F12" s="258"/>
      <c r="H12" s="252" t="s">
        <v>373</v>
      </c>
      <c r="I12" s="252"/>
      <c r="J12" s="159" t="s">
        <v>77</v>
      </c>
      <c r="K12" s="160">
        <f>15.8*Главная!B134</f>
        <v>496.12</v>
      </c>
      <c r="L12" s="161">
        <f>25.5*Главная!B134</f>
        <v>800.6999999999999</v>
      </c>
      <c r="M12" s="136">
        <f>29.5*Главная!B134</f>
        <v>926.3</v>
      </c>
    </row>
    <row r="13" spans="1:13" ht="16.5" customHeight="1">
      <c r="A13" s="252" t="s">
        <v>374</v>
      </c>
      <c r="B13" s="252"/>
      <c r="C13" s="258">
        <f>145*Главная!B134</f>
        <v>4553</v>
      </c>
      <c r="D13" s="258"/>
      <c r="E13" s="258">
        <f>175*Главная!B134</f>
        <v>5495</v>
      </c>
      <c r="F13" s="258"/>
      <c r="H13" s="252"/>
      <c r="I13" s="252"/>
      <c r="J13" s="159" t="s">
        <v>162</v>
      </c>
      <c r="K13" s="160">
        <f>16*Главная!B134</f>
        <v>502.4</v>
      </c>
      <c r="L13" s="161">
        <f>25.9*Главная!B134</f>
        <v>813.2599999999999</v>
      </c>
      <c r="M13" s="136">
        <f>30*Главная!B134</f>
        <v>942</v>
      </c>
    </row>
    <row r="14" spans="1:13" ht="16.5" customHeight="1">
      <c r="A14" s="252" t="s">
        <v>375</v>
      </c>
      <c r="B14" s="252"/>
      <c r="C14" s="258">
        <f>169*Главная!B134</f>
        <v>5306.599999999999</v>
      </c>
      <c r="D14" s="258"/>
      <c r="E14" s="258">
        <f>199*Главная!B134</f>
        <v>6248.599999999999</v>
      </c>
      <c r="F14" s="258"/>
      <c r="H14" s="252"/>
      <c r="I14" s="252"/>
      <c r="J14" s="159" t="s">
        <v>163</v>
      </c>
      <c r="K14" s="160">
        <f>16.4*Главная!B134</f>
        <v>514.9599999999999</v>
      </c>
      <c r="L14" s="161">
        <f>26*Главная!B134</f>
        <v>816.4</v>
      </c>
      <c r="M14" s="136">
        <f>30.5*Главная!B134</f>
        <v>957.6999999999999</v>
      </c>
    </row>
    <row r="15" spans="1:13" ht="16.5" customHeight="1">
      <c r="A15" s="252" t="s">
        <v>376</v>
      </c>
      <c r="B15" s="252"/>
      <c r="C15" s="258">
        <f>183*Главная!B134</f>
        <v>5746.2</v>
      </c>
      <c r="D15" s="258"/>
      <c r="E15" s="258">
        <f>211*Главная!B134</f>
        <v>6625.4</v>
      </c>
      <c r="F15" s="258"/>
      <c r="H15" s="252"/>
      <c r="I15" s="252"/>
      <c r="J15" s="159" t="s">
        <v>371</v>
      </c>
      <c r="K15" s="160">
        <f>16.6*Главная!B134</f>
        <v>521.24</v>
      </c>
      <c r="L15" s="161">
        <f>26.2*Главная!B134</f>
        <v>822.68</v>
      </c>
      <c r="M15" s="136">
        <f>31*Главная!B134</f>
        <v>973.4</v>
      </c>
    </row>
    <row r="18" ht="12.75">
      <c r="A18" s="162" t="s">
        <v>377</v>
      </c>
    </row>
    <row r="20" spans="1:8" ht="12.75">
      <c r="A20" t="s">
        <v>378</v>
      </c>
      <c r="D20" t="s">
        <v>379</v>
      </c>
      <c r="H20" s="163">
        <v>0.1</v>
      </c>
    </row>
    <row r="21" spans="4:8" ht="12.75">
      <c r="D21" t="s">
        <v>380</v>
      </c>
      <c r="H21" t="s">
        <v>381</v>
      </c>
    </row>
    <row r="22" spans="4:8" ht="12.75">
      <c r="D22" t="s">
        <v>382</v>
      </c>
      <c r="H22" t="s">
        <v>383</v>
      </c>
    </row>
    <row r="24" ht="15.75">
      <c r="A24" s="164" t="s">
        <v>384</v>
      </c>
    </row>
    <row r="25" ht="12.75">
      <c r="A25" s="162" t="s">
        <v>385</v>
      </c>
    </row>
  </sheetData>
  <mergeCells count="33">
    <mergeCell ref="A2:M2"/>
    <mergeCell ref="A6:B7"/>
    <mergeCell ref="C6:F6"/>
    <mergeCell ref="H6:I7"/>
    <mergeCell ref="K6:M6"/>
    <mergeCell ref="C7:D7"/>
    <mergeCell ref="E7:F7"/>
    <mergeCell ref="A8:B8"/>
    <mergeCell ref="C8:D8"/>
    <mergeCell ref="E8:F8"/>
    <mergeCell ref="H8:I11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H12:I15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SheetLayoutView="100" workbookViewId="0" topLeftCell="A1">
      <selection activeCell="L6" sqref="L6"/>
    </sheetView>
  </sheetViews>
  <sheetFormatPr defaultColWidth="9.00390625" defaultRowHeight="12.75"/>
  <cols>
    <col min="1" max="1" width="17.375" style="0" customWidth="1"/>
    <col min="2" max="9" width="9.875" style="0" customWidth="1"/>
  </cols>
  <sheetData>
    <row r="1" ht="59.25" customHeight="1"/>
    <row r="2" spans="1:13" ht="18" customHeight="1">
      <c r="A2" s="259" t="s">
        <v>388</v>
      </c>
      <c r="B2" s="259"/>
      <c r="C2" s="259"/>
      <c r="D2" s="259"/>
      <c r="E2" s="259"/>
      <c r="F2" s="259"/>
      <c r="G2" s="259"/>
      <c r="H2" s="259"/>
      <c r="I2" s="259"/>
      <c r="J2" s="165"/>
      <c r="K2" s="165"/>
      <c r="L2" s="165"/>
      <c r="M2" s="165"/>
    </row>
    <row r="3" ht="12.75">
      <c r="A3" s="171">
        <f>Главная!B2</f>
        <v>42989</v>
      </c>
    </row>
    <row r="4" spans="1:9" ht="15.75" customHeight="1">
      <c r="A4" s="262" t="s">
        <v>392</v>
      </c>
      <c r="B4" s="263"/>
      <c r="C4" s="263"/>
      <c r="D4" s="263"/>
      <c r="E4" s="263"/>
      <c r="F4" s="263"/>
      <c r="G4" s="263"/>
      <c r="H4" s="263"/>
      <c r="I4" s="263"/>
    </row>
    <row r="5" spans="1:9" s="168" customFormat="1" ht="18" customHeight="1">
      <c r="A5" s="167" t="s">
        <v>389</v>
      </c>
      <c r="B5" s="264" t="s">
        <v>390</v>
      </c>
      <c r="C5" s="264"/>
      <c r="D5" s="264"/>
      <c r="E5" s="264"/>
      <c r="F5" s="264"/>
      <c r="G5" s="264"/>
      <c r="H5" s="264"/>
      <c r="I5" s="264"/>
    </row>
    <row r="6" spans="1:9" ht="72" customHeight="1">
      <c r="A6" s="166" t="s">
        <v>76</v>
      </c>
      <c r="B6" s="266" t="s">
        <v>77</v>
      </c>
      <c r="C6" s="266"/>
      <c r="D6" s="266" t="s">
        <v>162</v>
      </c>
      <c r="E6" s="266"/>
      <c r="F6" s="266" t="s">
        <v>79</v>
      </c>
      <c r="G6" s="266"/>
      <c r="H6" s="266" t="s">
        <v>391</v>
      </c>
      <c r="I6" s="266"/>
    </row>
    <row r="7" spans="1:9" ht="12.75">
      <c r="A7" s="45">
        <v>0.9</v>
      </c>
      <c r="B7" s="265">
        <f>10.5*Главная!B134</f>
        <v>329.7</v>
      </c>
      <c r="C7" s="265"/>
      <c r="D7" s="265">
        <f>10.6*Главная!B134</f>
        <v>332.84</v>
      </c>
      <c r="E7" s="265"/>
      <c r="F7" s="265">
        <f>10.9*Главная!B134</f>
        <v>342.26</v>
      </c>
      <c r="G7" s="265"/>
      <c r="H7" s="265">
        <f>11*Главная!B134</f>
        <v>345.4</v>
      </c>
      <c r="I7" s="265"/>
    </row>
    <row r="8" spans="1:9" ht="12.75">
      <c r="A8" s="45">
        <v>1.2</v>
      </c>
      <c r="B8" s="265">
        <f>12.6*Главная!B134</f>
        <v>395.64</v>
      </c>
      <c r="C8" s="265"/>
      <c r="D8" s="265">
        <f>12.7*Главная!B134</f>
        <v>398.78</v>
      </c>
      <c r="E8" s="265"/>
      <c r="F8" s="265">
        <f>13*Главная!B134</f>
        <v>408.2</v>
      </c>
      <c r="G8" s="265"/>
      <c r="H8" s="265">
        <f>13.2*Главная!B134</f>
        <v>414.47999999999996</v>
      </c>
      <c r="I8" s="265"/>
    </row>
    <row r="9" spans="1:9" ht="12.75">
      <c r="A9" s="45">
        <v>1.4</v>
      </c>
      <c r="B9" s="265">
        <f>13.6*Главная!B134</f>
        <v>427.03999999999996</v>
      </c>
      <c r="C9" s="265"/>
      <c r="D9" s="265">
        <f>13.8*Главная!B134</f>
        <v>433.32</v>
      </c>
      <c r="E9" s="265"/>
      <c r="F9" s="265">
        <f>14*Главная!B134</f>
        <v>439.59999999999997</v>
      </c>
      <c r="G9" s="265"/>
      <c r="H9" s="265">
        <f>14.2*Главная!B134</f>
        <v>445.87999999999994</v>
      </c>
      <c r="I9" s="265"/>
    </row>
    <row r="10" spans="1:9" ht="12.75">
      <c r="A10" s="45">
        <v>1.6</v>
      </c>
      <c r="B10" s="265">
        <f>11.7*Главная!B134</f>
        <v>367.37999999999994</v>
      </c>
      <c r="C10" s="265"/>
      <c r="D10" s="265">
        <f>16.2*Главная!B134</f>
        <v>508.67999999999995</v>
      </c>
      <c r="E10" s="265"/>
      <c r="F10" s="265">
        <f>16.5*Главная!B134</f>
        <v>518.1</v>
      </c>
      <c r="G10" s="265"/>
      <c r="H10" s="265">
        <f>16.6*Главная!B134</f>
        <v>521.24</v>
      </c>
      <c r="I10" s="265"/>
    </row>
    <row r="11" spans="1:9" ht="12.75">
      <c r="A11" s="45">
        <v>2</v>
      </c>
      <c r="B11" s="265">
        <f>18.2*Главная!B134</f>
        <v>571.4799999999999</v>
      </c>
      <c r="C11" s="265"/>
      <c r="D11" s="265">
        <f>18.4*Главная!B134</f>
        <v>577.7599999999999</v>
      </c>
      <c r="E11" s="265"/>
      <c r="F11" s="265">
        <f>18.7*Главная!B134</f>
        <v>587.18</v>
      </c>
      <c r="G11" s="265"/>
      <c r="H11" s="265">
        <f>18.8*Главная!B134</f>
        <v>590.32</v>
      </c>
      <c r="I11" s="265"/>
    </row>
    <row r="12" spans="1:9" ht="12.75">
      <c r="A12" s="45">
        <v>2.5</v>
      </c>
      <c r="B12" s="265">
        <f>22.3*Главная!B134</f>
        <v>700.22</v>
      </c>
      <c r="C12" s="265"/>
      <c r="D12" s="265">
        <f>22.5*Главная!B134</f>
        <v>706.5</v>
      </c>
      <c r="E12" s="265"/>
      <c r="F12" s="265">
        <f>22.7*Главная!B134</f>
        <v>712.78</v>
      </c>
      <c r="G12" s="265"/>
      <c r="H12" s="265">
        <f>22.9*Главная!B134</f>
        <v>719.06</v>
      </c>
      <c r="I12" s="265"/>
    </row>
    <row r="13" spans="1:9" ht="12.75">
      <c r="A13" s="45">
        <v>3</v>
      </c>
      <c r="B13" s="265">
        <f>25.2*Главная!B134</f>
        <v>791.28</v>
      </c>
      <c r="C13" s="265"/>
      <c r="D13" s="265">
        <f>26.3*Главная!B134</f>
        <v>825.8199999999999</v>
      </c>
      <c r="E13" s="265"/>
      <c r="F13" s="265">
        <f>26.8*Главная!B134</f>
        <v>841.52</v>
      </c>
      <c r="G13" s="265"/>
      <c r="H13" s="265">
        <f>26.9*Главная!B134</f>
        <v>844.66</v>
      </c>
      <c r="I13" s="265"/>
    </row>
    <row r="16" spans="1:4" ht="51">
      <c r="A16" s="169" t="s">
        <v>393</v>
      </c>
      <c r="B16" s="159" t="s">
        <v>394</v>
      </c>
      <c r="C16" s="159" t="s">
        <v>395</v>
      </c>
      <c r="D16" s="159" t="s">
        <v>396</v>
      </c>
    </row>
    <row r="18" spans="1:4" ht="12.75">
      <c r="A18" s="159" t="s">
        <v>397</v>
      </c>
      <c r="B18" s="159" t="s">
        <v>43</v>
      </c>
      <c r="C18" s="159" t="s">
        <v>401</v>
      </c>
      <c r="D18" s="159"/>
    </row>
    <row r="19" spans="1:4" ht="12.75">
      <c r="A19" s="159"/>
      <c r="B19" s="159" t="s">
        <v>398</v>
      </c>
      <c r="C19" s="159" t="s">
        <v>402</v>
      </c>
      <c r="D19" s="159"/>
    </row>
    <row r="20" spans="1:4" ht="12.75">
      <c r="A20" s="159"/>
      <c r="B20" s="159" t="s">
        <v>399</v>
      </c>
      <c r="C20" s="159" t="s">
        <v>403</v>
      </c>
      <c r="D20" s="159"/>
    </row>
    <row r="21" spans="1:4" ht="12.75">
      <c r="A21" s="159"/>
      <c r="B21" s="159" t="s">
        <v>400</v>
      </c>
      <c r="C21" s="159" t="s">
        <v>404</v>
      </c>
      <c r="D21" s="159"/>
    </row>
  </sheetData>
  <mergeCells count="35">
    <mergeCell ref="B13:C13"/>
    <mergeCell ref="D6:E6"/>
    <mergeCell ref="D7:E7"/>
    <mergeCell ref="D8:E8"/>
    <mergeCell ref="D9:E9"/>
    <mergeCell ref="D10:E10"/>
    <mergeCell ref="F10:G10"/>
    <mergeCell ref="F11:G11"/>
    <mergeCell ref="F12:G12"/>
    <mergeCell ref="B6:C6"/>
    <mergeCell ref="B7:C7"/>
    <mergeCell ref="B8:C8"/>
    <mergeCell ref="B9:C9"/>
    <mergeCell ref="B10:C10"/>
    <mergeCell ref="B11:C11"/>
    <mergeCell ref="B12:C12"/>
    <mergeCell ref="F6:G6"/>
    <mergeCell ref="F7:G7"/>
    <mergeCell ref="F8:G8"/>
    <mergeCell ref="F9:G9"/>
    <mergeCell ref="H12:I12"/>
    <mergeCell ref="H13:I13"/>
    <mergeCell ref="D11:E11"/>
    <mergeCell ref="D12:E12"/>
    <mergeCell ref="D13:E13"/>
    <mergeCell ref="A4:I4"/>
    <mergeCell ref="A2:I2"/>
    <mergeCell ref="B5:I5"/>
    <mergeCell ref="F13:G13"/>
    <mergeCell ref="H6:I6"/>
    <mergeCell ref="H7:I7"/>
    <mergeCell ref="H8:I8"/>
    <mergeCell ref="H9:I9"/>
    <mergeCell ref="H10:I10"/>
    <mergeCell ref="H11:I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F38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G9" sqref="G9"/>
    </sheetView>
  </sheetViews>
  <sheetFormatPr defaultColWidth="8.75390625" defaultRowHeight="12.75"/>
  <cols>
    <col min="1" max="1" width="18.00390625" style="155" customWidth="1"/>
    <col min="2" max="2" width="33.875" style="155" customWidth="1"/>
    <col min="3" max="3" width="23.25390625" style="155" customWidth="1"/>
    <col min="4" max="4" width="18.25390625" style="150" customWidth="1"/>
    <col min="5" max="16384" width="8.75390625" style="63" customWidth="1"/>
  </cols>
  <sheetData>
    <row r="1" spans="1:4" ht="53.25" customHeight="1">
      <c r="A1" s="270"/>
      <c r="B1" s="270"/>
      <c r="C1" s="270"/>
      <c r="D1" s="270"/>
    </row>
    <row r="2" spans="1:5" ht="12.75" customHeight="1">
      <c r="A2" s="271"/>
      <c r="B2" s="271"/>
      <c r="C2" s="271"/>
      <c r="E2" s="64"/>
    </row>
    <row r="3" spans="1:4" ht="12.75">
      <c r="A3" s="172" t="s">
        <v>102</v>
      </c>
      <c r="B3" s="172" t="s">
        <v>103</v>
      </c>
      <c r="C3" s="173" t="s">
        <v>104</v>
      </c>
      <c r="D3" s="172" t="s">
        <v>105</v>
      </c>
    </row>
    <row r="4" spans="1:6" ht="27" customHeight="1">
      <c r="A4" s="272" t="s">
        <v>106</v>
      </c>
      <c r="B4" s="272" t="s">
        <v>134</v>
      </c>
      <c r="C4" s="65" t="s">
        <v>339</v>
      </c>
      <c r="D4" s="273" t="s">
        <v>107</v>
      </c>
      <c r="E4" s="66"/>
      <c r="F4" s="66"/>
    </row>
    <row r="5" spans="1:6" ht="18" customHeight="1">
      <c r="A5" s="272"/>
      <c r="B5" s="272"/>
      <c r="C5" s="65" t="s">
        <v>340</v>
      </c>
      <c r="D5" s="273"/>
      <c r="E5" s="66"/>
      <c r="F5" s="66"/>
    </row>
    <row r="6" spans="1:6" ht="15" customHeight="1">
      <c r="A6" s="68" t="s">
        <v>106</v>
      </c>
      <c r="B6" s="68" t="s">
        <v>108</v>
      </c>
      <c r="C6" s="69" t="s">
        <v>341</v>
      </c>
      <c r="D6" s="174" t="s">
        <v>107</v>
      </c>
      <c r="E6" s="66"/>
      <c r="F6" s="67"/>
    </row>
    <row r="7" spans="1:6" ht="12.75">
      <c r="A7" s="68" t="s">
        <v>109</v>
      </c>
      <c r="B7" s="68" t="s">
        <v>110</v>
      </c>
      <c r="C7" s="68" t="s">
        <v>150</v>
      </c>
      <c r="D7" s="174" t="s">
        <v>107</v>
      </c>
      <c r="E7" s="66"/>
      <c r="F7" s="66"/>
    </row>
    <row r="8" spans="1:6" ht="12.75" customHeight="1">
      <c r="A8" s="272" t="s">
        <v>111</v>
      </c>
      <c r="B8" s="272" t="s">
        <v>408</v>
      </c>
      <c r="C8" s="65" t="s">
        <v>409</v>
      </c>
      <c r="D8" s="273" t="s">
        <v>107</v>
      </c>
      <c r="E8" s="66"/>
      <c r="F8" s="66"/>
    </row>
    <row r="9" spans="1:6" ht="13.5" customHeight="1">
      <c r="A9" s="272"/>
      <c r="B9" s="272"/>
      <c r="C9" s="70"/>
      <c r="D9" s="273"/>
      <c r="E9" s="66"/>
      <c r="F9" s="66"/>
    </row>
    <row r="10" spans="1:6" ht="12.75" customHeight="1">
      <c r="A10" s="149" t="s">
        <v>342</v>
      </c>
      <c r="B10" s="151" t="s">
        <v>343</v>
      </c>
      <c r="C10" s="65" t="s">
        <v>344</v>
      </c>
      <c r="D10" s="175" t="s">
        <v>107</v>
      </c>
      <c r="E10" s="66"/>
      <c r="F10" s="66"/>
    </row>
    <row r="11" spans="1:6" ht="13.5" customHeight="1">
      <c r="A11" s="76" t="s">
        <v>112</v>
      </c>
      <c r="B11" s="77" t="s">
        <v>113</v>
      </c>
      <c r="C11" s="176" t="s">
        <v>151</v>
      </c>
      <c r="D11" s="175" t="s">
        <v>107</v>
      </c>
      <c r="E11" s="66"/>
      <c r="F11" s="66"/>
    </row>
    <row r="12" spans="1:6" ht="12.75" customHeight="1">
      <c r="A12" s="68" t="s">
        <v>114</v>
      </c>
      <c r="B12" s="68" t="s">
        <v>115</v>
      </c>
      <c r="C12" s="70" t="s">
        <v>410</v>
      </c>
      <c r="D12" s="174" t="s">
        <v>107</v>
      </c>
      <c r="E12" s="66"/>
      <c r="F12" s="66"/>
    </row>
    <row r="13" spans="1:6" ht="12.75">
      <c r="A13" s="68" t="s">
        <v>116</v>
      </c>
      <c r="B13" s="68" t="s">
        <v>117</v>
      </c>
      <c r="C13" s="68" t="s">
        <v>411</v>
      </c>
      <c r="D13" s="174" t="s">
        <v>107</v>
      </c>
      <c r="E13" s="66"/>
      <c r="F13" s="66"/>
    </row>
    <row r="14" spans="1:6" ht="12.75">
      <c r="A14" s="68" t="s">
        <v>135</v>
      </c>
      <c r="B14" s="68" t="s">
        <v>345</v>
      </c>
      <c r="C14" s="177" t="s">
        <v>346</v>
      </c>
      <c r="D14" s="174" t="s">
        <v>107</v>
      </c>
      <c r="E14" s="66"/>
      <c r="F14" s="66"/>
    </row>
    <row r="15" spans="1:6" ht="12.75">
      <c r="A15" s="68" t="s">
        <v>118</v>
      </c>
      <c r="B15" s="68" t="s">
        <v>158</v>
      </c>
      <c r="C15" s="70" t="s">
        <v>347</v>
      </c>
      <c r="D15" s="174" t="s">
        <v>107</v>
      </c>
      <c r="E15" s="66"/>
      <c r="F15" s="66"/>
    </row>
    <row r="16" spans="1:6" ht="12.75" customHeight="1">
      <c r="A16" s="68" t="s">
        <v>119</v>
      </c>
      <c r="B16" s="68" t="s">
        <v>120</v>
      </c>
      <c r="C16" s="69" t="s">
        <v>412</v>
      </c>
      <c r="D16" s="174" t="s">
        <v>107</v>
      </c>
      <c r="E16" s="66"/>
      <c r="F16" s="66"/>
    </row>
    <row r="17" spans="1:6" ht="12.75">
      <c r="A17" s="68" t="s">
        <v>413</v>
      </c>
      <c r="B17" s="68" t="s">
        <v>414</v>
      </c>
      <c r="C17" s="69" t="s">
        <v>415</v>
      </c>
      <c r="D17" s="174" t="s">
        <v>107</v>
      </c>
      <c r="E17" s="66"/>
      <c r="F17" s="66"/>
    </row>
    <row r="18" spans="1:6" ht="12.75">
      <c r="A18" s="68" t="s">
        <v>123</v>
      </c>
      <c r="B18" s="68" t="s">
        <v>124</v>
      </c>
      <c r="C18" s="69" t="s">
        <v>416</v>
      </c>
      <c r="D18" s="174" t="s">
        <v>107</v>
      </c>
      <c r="E18" s="66"/>
      <c r="F18" s="66"/>
    </row>
    <row r="19" spans="1:6" ht="12.75">
      <c r="A19" s="68" t="s">
        <v>121</v>
      </c>
      <c r="B19" s="68" t="s">
        <v>122</v>
      </c>
      <c r="C19" s="69" t="s">
        <v>152</v>
      </c>
      <c r="D19" s="174" t="s">
        <v>107</v>
      </c>
      <c r="E19" s="66"/>
      <c r="F19" s="66"/>
    </row>
    <row r="20" spans="1:6" ht="12.75">
      <c r="A20" s="103" t="s">
        <v>125</v>
      </c>
      <c r="B20" s="103" t="s">
        <v>126</v>
      </c>
      <c r="C20" s="177" t="s">
        <v>153</v>
      </c>
      <c r="D20" s="174" t="s">
        <v>107</v>
      </c>
      <c r="E20" s="66"/>
      <c r="F20" s="66"/>
    </row>
    <row r="21" spans="1:6" ht="12.75">
      <c r="A21" s="178" t="s">
        <v>136</v>
      </c>
      <c r="B21" s="178" t="s">
        <v>137</v>
      </c>
      <c r="C21" s="78" t="s">
        <v>348</v>
      </c>
      <c r="D21" s="174" t="s">
        <v>107</v>
      </c>
      <c r="E21" s="66"/>
      <c r="F21" s="66"/>
    </row>
    <row r="22" spans="1:6" ht="12.75">
      <c r="A22" s="179" t="s">
        <v>127</v>
      </c>
      <c r="B22" s="180" t="s">
        <v>157</v>
      </c>
      <c r="C22" s="181" t="s">
        <v>417</v>
      </c>
      <c r="D22" s="182" t="s">
        <v>107</v>
      </c>
      <c r="E22" s="66"/>
      <c r="F22" s="66"/>
    </row>
    <row r="23" spans="1:6" ht="12.75" customHeight="1">
      <c r="A23" s="103" t="s">
        <v>128</v>
      </c>
      <c r="B23" s="103" t="s">
        <v>159</v>
      </c>
      <c r="C23" s="183" t="s">
        <v>349</v>
      </c>
      <c r="D23" s="174" t="s">
        <v>107</v>
      </c>
      <c r="E23" s="66"/>
      <c r="F23" s="66"/>
    </row>
    <row r="24" spans="1:6" ht="15.75" customHeight="1">
      <c r="A24" s="68" t="s">
        <v>129</v>
      </c>
      <c r="B24" s="68" t="s">
        <v>130</v>
      </c>
      <c r="C24" s="70" t="s">
        <v>154</v>
      </c>
      <c r="D24" s="174" t="s">
        <v>107</v>
      </c>
      <c r="E24" s="66"/>
      <c r="F24" s="66"/>
    </row>
    <row r="25" spans="1:6" ht="15" customHeight="1">
      <c r="A25" s="76" t="s">
        <v>131</v>
      </c>
      <c r="B25" s="76" t="s">
        <v>132</v>
      </c>
      <c r="C25" s="71" t="s">
        <v>155</v>
      </c>
      <c r="D25" s="184" t="s">
        <v>107</v>
      </c>
      <c r="E25" s="66"/>
      <c r="F25" s="66"/>
    </row>
    <row r="26" spans="1:6" ht="12.75">
      <c r="A26" s="185" t="s">
        <v>138</v>
      </c>
      <c r="B26" s="186" t="s">
        <v>418</v>
      </c>
      <c r="C26" s="186" t="s">
        <v>419</v>
      </c>
      <c r="D26" s="187" t="s">
        <v>107</v>
      </c>
      <c r="E26" s="66"/>
      <c r="F26" s="66"/>
    </row>
    <row r="27" spans="1:6" ht="12.75">
      <c r="A27" s="186" t="s">
        <v>431</v>
      </c>
      <c r="B27" s="186" t="s">
        <v>420</v>
      </c>
      <c r="C27" s="186" t="s">
        <v>421</v>
      </c>
      <c r="D27" s="187" t="s">
        <v>107</v>
      </c>
      <c r="E27" s="66"/>
      <c r="F27" s="66"/>
    </row>
    <row r="28" spans="1:6" ht="12.75">
      <c r="A28" s="189" t="s">
        <v>432</v>
      </c>
      <c r="B28" s="190" t="s">
        <v>433</v>
      </c>
      <c r="C28" s="190" t="s">
        <v>434</v>
      </c>
      <c r="D28" s="191" t="s">
        <v>107</v>
      </c>
      <c r="E28" s="66"/>
      <c r="F28" s="66"/>
    </row>
    <row r="29" spans="1:6" ht="12.75" customHeight="1">
      <c r="A29" s="267" t="s">
        <v>350</v>
      </c>
      <c r="B29" s="268"/>
      <c r="C29" s="268"/>
      <c r="D29" s="269"/>
      <c r="E29" s="66"/>
      <c r="F29" s="66"/>
    </row>
    <row r="30" spans="1:6" ht="12.75" customHeight="1">
      <c r="A30" s="153" t="s">
        <v>351</v>
      </c>
      <c r="B30" s="153" t="s">
        <v>352</v>
      </c>
      <c r="C30" s="153" t="s">
        <v>422</v>
      </c>
      <c r="D30" s="152" t="s">
        <v>107</v>
      </c>
      <c r="E30" s="66"/>
      <c r="F30" s="66"/>
    </row>
    <row r="31" spans="1:4" ht="12.75">
      <c r="A31" s="153" t="s">
        <v>423</v>
      </c>
      <c r="B31" s="153" t="s">
        <v>353</v>
      </c>
      <c r="C31" s="153" t="s">
        <v>424</v>
      </c>
      <c r="D31" s="152" t="s">
        <v>107</v>
      </c>
    </row>
    <row r="32" spans="1:4" ht="12.75">
      <c r="A32" s="153" t="s">
        <v>425</v>
      </c>
      <c r="B32" s="153" t="s">
        <v>426</v>
      </c>
      <c r="C32" s="153" t="s">
        <v>427</v>
      </c>
      <c r="D32" s="188" t="s">
        <v>107</v>
      </c>
    </row>
    <row r="33" spans="1:4" ht="12.75">
      <c r="A33" s="267" t="s">
        <v>354</v>
      </c>
      <c r="B33" s="268"/>
      <c r="C33" s="268"/>
      <c r="D33" s="269"/>
    </row>
    <row r="34" spans="1:4" ht="12.75">
      <c r="A34" s="153" t="s">
        <v>355</v>
      </c>
      <c r="B34" s="153" t="s">
        <v>428</v>
      </c>
      <c r="C34" s="153" t="s">
        <v>429</v>
      </c>
      <c r="D34" s="152" t="s">
        <v>107</v>
      </c>
    </row>
    <row r="35" spans="1:4" ht="12.75">
      <c r="A35" s="153" t="s">
        <v>356</v>
      </c>
      <c r="B35" s="153" t="s">
        <v>357</v>
      </c>
      <c r="C35" s="153" t="s">
        <v>430</v>
      </c>
      <c r="D35" s="154"/>
    </row>
    <row r="36" spans="1:4" ht="12.75">
      <c r="A36" s="153"/>
      <c r="B36" s="153"/>
      <c r="C36" s="153"/>
      <c r="D36" s="152"/>
    </row>
    <row r="37" spans="1:4" ht="12.75">
      <c r="A37" s="153"/>
      <c r="B37" s="153"/>
      <c r="C37" s="153"/>
      <c r="D37" s="154"/>
    </row>
    <row r="38" ht="12.75">
      <c r="D38" s="156" t="s">
        <v>3</v>
      </c>
    </row>
  </sheetData>
  <sheetProtection selectLockedCells="1" selectUnlockedCells="1"/>
  <mergeCells count="10">
    <mergeCell ref="A33:D33"/>
    <mergeCell ref="A1:D1"/>
    <mergeCell ref="A2:C2"/>
    <mergeCell ref="A4:A5"/>
    <mergeCell ref="B4:B5"/>
    <mergeCell ref="D4:D5"/>
    <mergeCell ref="A8:A9"/>
    <mergeCell ref="B8:B9"/>
    <mergeCell ref="D8:D9"/>
    <mergeCell ref="A29:D29"/>
  </mergeCells>
  <hyperlinks>
    <hyperlink ref="D38" location="Главная!A1" display="на главную"/>
    <hyperlink ref="D4" r:id="rId1" display="Карта проезда"/>
    <hyperlink ref="D6" r:id="rId2" display="Карта проезда"/>
    <hyperlink ref="D7" r:id="rId3" display="Карта проезда"/>
    <hyperlink ref="D8" r:id="rId4" display="Карта проезда"/>
    <hyperlink ref="D12" r:id="rId5" display="Карта проезда"/>
    <hyperlink ref="D13" r:id="rId6" display="Карта проезда"/>
    <hyperlink ref="D15" r:id="rId7" display="Карта проезда"/>
    <hyperlink ref="D16" r:id="rId8" display="Карта проезда"/>
    <hyperlink ref="D19" r:id="rId9" display="Карта проезда"/>
    <hyperlink ref="D18" r:id="rId10" display="Карта проезда"/>
    <hyperlink ref="D20" r:id="rId11" display="Карта проезда"/>
    <hyperlink ref="D22" r:id="rId12" display="Карта проезда"/>
    <hyperlink ref="D23" r:id="rId13" display="Карта проезда"/>
    <hyperlink ref="D24" r:id="rId14" display="Карта проезда"/>
    <hyperlink ref="D25" r:id="rId15" display="Карта проезда"/>
    <hyperlink ref="D8:D9" r:id="rId16" display="Карта проезда"/>
    <hyperlink ref="D4:D5" r:id="rId17" display="Карта проезда"/>
    <hyperlink ref="D14" r:id="rId18" display="Карта проезда"/>
    <hyperlink ref="D21" r:id="rId19" display="Карта проезда"/>
    <hyperlink ref="D26" r:id="rId20" display="Карта проезда"/>
    <hyperlink ref="D30" r:id="rId21" display="http://plastics.md/assets/images/common/maps/Plastics_Adv-Maps-Moldova.png"/>
    <hyperlink ref="D31" r:id="rId22" display="http://plastics.md/assets/images/md/Plastics_Adv-Maps-Beltsy-MD.jpg"/>
    <hyperlink ref="D34" r:id="rId23" display="http://plastics.ge/assets/images/common/maps/Plastics_Adv-Map-GE-2.jpg"/>
    <hyperlink ref="D11" r:id="rId24" display="Карта проезда"/>
    <hyperlink ref="D10" r:id="rId25" display="Карта проезда"/>
    <hyperlink ref="D17" r:id="rId26" display="Карта проезда"/>
    <hyperlink ref="D27" r:id="rId27" display="Карта проезда"/>
    <hyperlink ref="D32" r:id="rId28" display="Карта проезда"/>
    <hyperlink ref="D28" r:id="rId29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 r:id="rId31"/>
  <colBreaks count="1" manualBreakCount="1">
    <brk id="4" max="65535" man="1"/>
  </colBreaks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PLastics-Ukraine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</dc:creator>
  <cp:keywords/>
  <dc:description/>
  <cp:lastModifiedBy>m.bobyr</cp:lastModifiedBy>
  <cp:lastPrinted>2015-04-07T14:32:07Z</cp:lastPrinted>
  <dcterms:created xsi:type="dcterms:W3CDTF">2013-01-10T14:06:15Z</dcterms:created>
  <dcterms:modified xsi:type="dcterms:W3CDTF">2017-09-11T07:01:36Z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