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92" tabRatio="954" activeTab="0"/>
  </bookViews>
  <sheets>
    <sheet name="Головна" sheetId="1" r:id="rId1"/>
    <sheet name="Акриловий камінь Hi-Macs" sheetId="2" r:id="rId2"/>
    <sheet name="Corian_листи й мийки" sheetId="3" r:id="rId3"/>
    <sheet name="Montelli_листи й мийки" sheetId="4" r:id="rId4"/>
    <sheet name="3D-панелі, розпродаж" sheetId="5" r:id="rId5"/>
    <sheet name="Silestone" sheetId="6" r:id="rId6"/>
    <sheet name="плитка Silestone" sheetId="7" r:id="rId7"/>
    <sheet name="Мийки Silestone" sheetId="8" r:id="rId8"/>
    <sheet name="DEKTON" sheetId="9" r:id="rId9"/>
    <sheet name="Dekton 4 мм" sheetId="10" r:id="rId10"/>
    <sheet name="Invision" sheetId="11" r:id="rId11"/>
    <sheet name="KronoCompact" sheetId="12" r:id="rId12"/>
    <sheet name="Декори KronoCompact" sheetId="13" r:id="rId13"/>
    <sheet name="KronoCompact Express" sheetId="14" r:id="rId14"/>
    <sheet name="пластик HPL" sheetId="15" r:id="rId15"/>
    <sheet name="Декори HPL" sheetId="16" r:id="rId16"/>
    <sheet name="HPL_від 1 листа_Express" sheetId="17" r:id="rId17"/>
    <sheet name="HPL_важкогорючий" sheetId="18" r:id="rId18"/>
    <sheet name="Мультикор Slim Line" sheetId="19" r:id="rId19"/>
    <sheet name="Slim Line Worktops" sheetId="20" r:id="rId20"/>
    <sheet name="Плити MPB" sheetId="21" r:id="rId21"/>
    <sheet name="Контакти" sheetId="22" r:id="rId22"/>
  </sheets>
  <externalReferences>
    <externalReference r:id="rId25"/>
    <externalReference r:id="rId26"/>
  </externalReferences>
  <definedNames>
    <definedName name="_xlnm._FilterDatabase" localSheetId="10" hidden="1">'Invision'!$A$11:$L$46</definedName>
    <definedName name="_xlnm.Print_Area" localSheetId="2">'Corian_листи й мийки'!$A$1:$H$70</definedName>
    <definedName name="_xlnm.Print_Area" localSheetId="8">'DEKTON'!$A$1:$M$79</definedName>
    <definedName name="_xlnm.Print_Area" localSheetId="10">'Invision'!$A$1:$K$64</definedName>
    <definedName name="_xlnm.Print_Area" localSheetId="11">'KronoCompact'!$A$1:$F$31</definedName>
    <definedName name="_xlnm.Print_Area" localSheetId="3">'Montelli_листи й мийки'!$A$1:$H$46</definedName>
    <definedName name="_xlnm.Print_Area" localSheetId="0">'Головна'!$A$1:$B$20</definedName>
    <definedName name="_xlnm.Print_Area" localSheetId="21">'Контакти'!$A$1:$D$43</definedName>
    <definedName name="_xlnm.Print_Area" localSheetId="14">'пластик HPL'!$A$1:$H$29</definedName>
    <definedName name="_xlnm.Print_Area" localSheetId="6">'плитка Silestone'!$A$1:$G$45</definedName>
  </definedNames>
  <calcPr fullCalcOnLoad="1" refMode="R1C1"/>
</workbook>
</file>

<file path=xl/sharedStrings.xml><?xml version="1.0" encoding="utf-8"?>
<sst xmlns="http://schemas.openxmlformats.org/spreadsheetml/2006/main" count="2136" uniqueCount="1232">
  <si>
    <t>товщина/клас горючості</t>
  </si>
  <si>
    <t>Кратність палети/плит</t>
  </si>
  <si>
    <t>Термін виробництва і доставки на склад в м. Київ  6-7 тижнів</t>
  </si>
  <si>
    <t>Color Special</t>
  </si>
  <si>
    <t>ГРН м2</t>
  </si>
  <si>
    <t>White Front</t>
  </si>
  <si>
    <t>13 мм</t>
  </si>
  <si>
    <t>White front:</t>
  </si>
  <si>
    <t>0101 BS</t>
  </si>
  <si>
    <t>0112 BS</t>
  </si>
  <si>
    <t>0162 BS</t>
  </si>
  <si>
    <t>0164 BS</t>
  </si>
  <si>
    <t>0190 BS</t>
  </si>
  <si>
    <t>0515 BS</t>
  </si>
  <si>
    <t>8681 BS</t>
  </si>
  <si>
    <t>0171 BS</t>
  </si>
  <si>
    <t>0191 BS</t>
  </si>
  <si>
    <t>Компакт ламінат KronoCompact</t>
  </si>
  <si>
    <r>
      <t xml:space="preserve"> Ціни вказані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з НДС</t>
    </r>
  </si>
  <si>
    <t>чорний, Г4</t>
  </si>
  <si>
    <t>Формат плити: 2800х1860 мм</t>
  </si>
  <si>
    <t>Декори:</t>
  </si>
  <si>
    <t>Термін виробництва і доставки на склад м Киїів -  4-5 тижнів</t>
  </si>
  <si>
    <t>Группа 6</t>
  </si>
  <si>
    <t>50-100</t>
  </si>
  <si>
    <t>Формат мм/текстура</t>
  </si>
  <si>
    <t>BS, PE, SM, PR</t>
  </si>
  <si>
    <t>SQ, SL</t>
  </si>
  <si>
    <t>Доплата за текстуру SQ - 10%</t>
  </si>
  <si>
    <t>всі текстури</t>
  </si>
  <si>
    <t>Вартість захисної плівки</t>
  </si>
  <si>
    <t>K211 PE</t>
  </si>
  <si>
    <t>K212 BS</t>
  </si>
  <si>
    <t>K215 BS</t>
  </si>
  <si>
    <t>K214 RS</t>
  </si>
  <si>
    <t>K015 SU</t>
  </si>
  <si>
    <t>K018PW</t>
  </si>
  <si>
    <t xml:space="preserve">AL01 </t>
  </si>
  <si>
    <t xml:space="preserve">AL02 </t>
  </si>
  <si>
    <t xml:space="preserve">AL03 </t>
  </si>
  <si>
    <t xml:space="preserve">AL04 </t>
  </si>
  <si>
    <t xml:space="preserve">AL05 </t>
  </si>
  <si>
    <t xml:space="preserve">AL06 </t>
  </si>
  <si>
    <t>Группа 7</t>
  </si>
  <si>
    <t>Группа 8</t>
  </si>
  <si>
    <t>Вартість кв. м з НДС, в Грн</t>
  </si>
  <si>
    <t>товщина</t>
  </si>
  <si>
    <t>група 1</t>
  </si>
  <si>
    <t>група 2</t>
  </si>
  <si>
    <t>група 3</t>
  </si>
  <si>
    <t>група 4</t>
  </si>
  <si>
    <t>група 5</t>
  </si>
  <si>
    <t>група 6</t>
  </si>
  <si>
    <t>група 7</t>
  </si>
  <si>
    <t>група 8</t>
  </si>
  <si>
    <t>Standart</t>
  </si>
  <si>
    <t>Вартість м2 в Грн з НДС</t>
  </si>
  <si>
    <t>50 листів</t>
  </si>
  <si>
    <r>
      <t xml:space="preserve">190 AF (anti fingerprints) </t>
    </r>
    <r>
      <rPr>
        <b/>
        <u val="single"/>
        <sz val="10"/>
        <rFont val="Arial Cyr"/>
        <family val="0"/>
      </rPr>
      <t>черный стержень</t>
    </r>
  </si>
  <si>
    <r>
      <t xml:space="preserve">K108 SU                   </t>
    </r>
    <r>
      <rPr>
        <b/>
        <u val="single"/>
        <sz val="10"/>
        <rFont val="Arial Cyr"/>
        <family val="0"/>
      </rPr>
      <t xml:space="preserve"> черный стержень</t>
    </r>
  </si>
  <si>
    <r>
      <t xml:space="preserve">K023 SU                      </t>
    </r>
    <r>
      <rPr>
        <b/>
        <u val="single"/>
        <sz val="10"/>
        <rFont val="Arial Cyr"/>
        <family val="0"/>
      </rPr>
      <t xml:space="preserve"> белый стержень</t>
    </r>
  </si>
  <si>
    <r>
      <t xml:space="preserve">4771 AF (anti fingerprints) </t>
    </r>
    <r>
      <rPr>
        <b/>
        <u val="single"/>
        <sz val="10"/>
        <rFont val="Arial Cyr"/>
        <family val="0"/>
      </rPr>
      <t>белый стержень</t>
    </r>
  </si>
  <si>
    <r>
      <t xml:space="preserve"> 8685 SU                         </t>
    </r>
    <r>
      <rPr>
        <b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белый стержень</t>
    </r>
  </si>
  <si>
    <r>
      <t xml:space="preserve">K028 SU                       </t>
    </r>
    <r>
      <rPr>
        <b/>
        <u val="single"/>
        <sz val="10"/>
        <rFont val="Arial Cyr"/>
        <family val="0"/>
      </rPr>
      <t>серый стержень</t>
    </r>
  </si>
  <si>
    <t>Декор/Товщина</t>
  </si>
  <si>
    <t>30 листів</t>
  </si>
  <si>
    <t>20 листів</t>
  </si>
  <si>
    <t>15 листів</t>
  </si>
  <si>
    <t>12 листів</t>
  </si>
  <si>
    <r>
      <t>Розмір листа:</t>
    </r>
    <r>
      <rPr>
        <sz val="10"/>
        <rFont val="Arial Cyr"/>
        <family val="2"/>
      </rPr>
      <t xml:space="preserve"> 4100 х 1300 мм</t>
    </r>
  </si>
  <si>
    <t>1 лист</t>
  </si>
  <si>
    <t>75 кг</t>
  </si>
  <si>
    <t>30x30x1,2      60x30x1,2    60x40x1,2</t>
  </si>
  <si>
    <t>40x40x1,2      60x60x1,2</t>
  </si>
  <si>
    <t>30x30x2,0      60x30x2,0     60x40x2,0</t>
  </si>
  <si>
    <t>40x40x2,0      60x60x2,0</t>
  </si>
  <si>
    <t>30x30x1,2</t>
  </si>
  <si>
    <t>40x40x1,2</t>
  </si>
  <si>
    <t>60x30x1,2</t>
  </si>
  <si>
    <t>60x40x1,2</t>
  </si>
  <si>
    <t>60x60x1,2</t>
  </si>
  <si>
    <t>декор</t>
  </si>
  <si>
    <t>acai</t>
  </si>
  <si>
    <t>alu light</t>
  </si>
  <si>
    <t>asia 3103</t>
  </si>
  <si>
    <t>bamboo 1-layer (br/or/curry/gr-yel)</t>
  </si>
  <si>
    <t>bamboo 2-layer</t>
  </si>
  <si>
    <t>beargrass 1-layer</t>
  </si>
  <si>
    <t>beargrass 2-layer</t>
  </si>
  <si>
    <t>birch</t>
  </si>
  <si>
    <t>blade 1-layer</t>
  </si>
  <si>
    <t>blade 2-layer</t>
  </si>
  <si>
    <t>corn</t>
  </si>
  <si>
    <t xml:space="preserve">feather </t>
  </si>
  <si>
    <t>fern</t>
  </si>
  <si>
    <t>korea paper white</t>
  </si>
  <si>
    <t>korea paper silver</t>
  </si>
  <si>
    <t>korea paper gold</t>
  </si>
  <si>
    <t>lavender</t>
  </si>
  <si>
    <t>leaves</t>
  </si>
  <si>
    <t>siam 4301 +4302</t>
  </si>
  <si>
    <t>matrix</t>
  </si>
  <si>
    <t>stem 1-reihing</t>
  </si>
  <si>
    <t>stem 2-reihing</t>
  </si>
  <si>
    <t>techno silver 2140</t>
  </si>
  <si>
    <t>thai</t>
  </si>
  <si>
    <t>twist</t>
  </si>
  <si>
    <t>weed green/ weed red</t>
  </si>
  <si>
    <t>Карта</t>
  </si>
  <si>
    <t>Полтава</t>
  </si>
  <si>
    <t>Херсон</t>
  </si>
  <si>
    <t>Модель</t>
  </si>
  <si>
    <t>12 мм</t>
  </si>
  <si>
    <t>20 мм</t>
  </si>
  <si>
    <t>Bone,   Cameo White,   Glasier White,   Vanilla</t>
  </si>
  <si>
    <t>курс</t>
  </si>
  <si>
    <t>*</t>
  </si>
  <si>
    <t>965*</t>
  </si>
  <si>
    <t>966*</t>
  </si>
  <si>
    <t>967*</t>
  </si>
  <si>
    <t>969*</t>
  </si>
  <si>
    <t>970*</t>
  </si>
  <si>
    <t>Ужгород</t>
  </si>
  <si>
    <t>DEKTON</t>
  </si>
  <si>
    <t>DEKTON®</t>
  </si>
  <si>
    <t>Г4</t>
  </si>
  <si>
    <t>Пластик HPL</t>
  </si>
  <si>
    <t>http://plastics.ua/dom/products/Пластик HPL</t>
  </si>
  <si>
    <t>coffee</t>
  </si>
  <si>
    <t>drops</t>
  </si>
  <si>
    <t>glitter yellow</t>
  </si>
  <si>
    <t>jungle 1-layer</t>
  </si>
  <si>
    <t>jungle 2-layer</t>
  </si>
  <si>
    <t>fabric 0</t>
  </si>
  <si>
    <t>fabric 1</t>
  </si>
  <si>
    <t>fabric 2</t>
  </si>
  <si>
    <t>fabric 3</t>
  </si>
  <si>
    <t>fabric 4</t>
  </si>
  <si>
    <t>fabric 5</t>
  </si>
  <si>
    <t>Fibonacci</t>
  </si>
  <si>
    <t xml:space="preserve">Fourier </t>
  </si>
  <si>
    <t xml:space="preserve">Voronoi </t>
  </si>
  <si>
    <t>факс: 0 (44) 201 15 49, 48</t>
  </si>
  <si>
    <t>Житомир</t>
  </si>
  <si>
    <t>Молдова</t>
  </si>
  <si>
    <t>4 мм</t>
  </si>
  <si>
    <t>6 мм</t>
  </si>
  <si>
    <t>8 мм</t>
  </si>
  <si>
    <t>10 мм</t>
  </si>
  <si>
    <t xml:space="preserve">tel: + / 373-22 / 99 95 15 </t>
  </si>
  <si>
    <t>tel./fax + / 231/81 0 16</t>
  </si>
  <si>
    <t>Комрат</t>
  </si>
  <si>
    <t>tel./fax + / 298/81 0 53</t>
  </si>
  <si>
    <t>One</t>
  </si>
  <si>
    <t>Due Small</t>
  </si>
  <si>
    <t xml:space="preserve">DUE Big </t>
  </si>
  <si>
    <t>DUE XL</t>
  </si>
  <si>
    <t>Aluminio Nube</t>
  </si>
  <si>
    <t>Arden Blue</t>
  </si>
  <si>
    <t>Blanco Capri</t>
  </si>
  <si>
    <t>Blanco Norte</t>
  </si>
  <si>
    <t>Cemento Spa</t>
  </si>
  <si>
    <t>Coral Clay</t>
  </si>
  <si>
    <t>Gris Expo</t>
  </si>
  <si>
    <t>Marengo</t>
  </si>
  <si>
    <t>Negro Tebas</t>
  </si>
  <si>
    <t>Niebla</t>
  </si>
  <si>
    <t>Noka</t>
  </si>
  <si>
    <t>White Storm</t>
  </si>
  <si>
    <t>Blanco Maple</t>
  </si>
  <si>
    <t>Blanco Stellar</t>
  </si>
  <si>
    <t>Kensho</t>
  </si>
  <si>
    <t>Tigris Sand</t>
  </si>
  <si>
    <t>Unsui</t>
  </si>
  <si>
    <t>Yukon</t>
  </si>
  <si>
    <t>Blanco Zeus</t>
  </si>
  <si>
    <t>Helix</t>
  </si>
  <si>
    <t>Lagoon</t>
  </si>
  <si>
    <t>Lyra</t>
  </si>
  <si>
    <t>Merope</t>
  </si>
  <si>
    <t>Pulsar</t>
  </si>
  <si>
    <t>перелив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</si>
  <si>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</si>
  <si>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</si>
  <si>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</si>
  <si>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</si>
  <si>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</si>
  <si>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</si>
  <si>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</si>
  <si>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</si>
  <si>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</si>
  <si>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</si>
  <si>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</si>
  <si>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</si>
  <si>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</si>
  <si>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</si>
  <si>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</si>
  <si>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</si>
  <si>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</si>
  <si>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</si>
  <si>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Місто</t>
  </si>
  <si>
    <t>Адреса</t>
  </si>
  <si>
    <t>Телефони</t>
  </si>
  <si>
    <t>0 (44) 201 15 40</t>
  </si>
  <si>
    <t>Вінниця</t>
  </si>
  <si>
    <t>0 (432) 57 92 29</t>
  </si>
  <si>
    <t>Дніпро</t>
  </si>
  <si>
    <t>вул. Князя Ярослава Мудрого, 68, оф.217</t>
  </si>
  <si>
    <t>0 (56)797 62 26</t>
  </si>
  <si>
    <t>0 (412) 44-62-60</t>
  </si>
  <si>
    <t>Запоріжжя</t>
  </si>
  <si>
    <t>вул. Трегубенко, 2</t>
  </si>
  <si>
    <t>0 (61) 701 32 30</t>
  </si>
  <si>
    <t>Івано-Франківськ</t>
  </si>
  <si>
    <t>0 (342) 54 25 52</t>
  </si>
  <si>
    <t>Кропивницький</t>
  </si>
  <si>
    <t>вул. Маланюка, 21-А</t>
  </si>
  <si>
    <t>0 (522) 27 29 90</t>
  </si>
  <si>
    <t>Кривий Ріг</t>
  </si>
  <si>
    <t>0 (564) 43 50 53</t>
  </si>
  <si>
    <t>Луцьк</t>
  </si>
  <si>
    <t>вул. Рівненська, 76-А</t>
  </si>
  <si>
    <t>0 (332) 20 02 16</t>
  </si>
  <si>
    <t>0 (32) 298 44 98</t>
  </si>
  <si>
    <t>вул. Велика Морська, 15/2</t>
  </si>
  <si>
    <t>0 (512) 59 30 25</t>
  </si>
  <si>
    <t>0 (48) 735 81 81</t>
  </si>
  <si>
    <t>вул. Половка, 70</t>
  </si>
  <si>
    <t>0 (532) 65 24 40</t>
  </si>
  <si>
    <t>Рівне</t>
  </si>
  <si>
    <t>вул. Біла, 83</t>
  </si>
  <si>
    <t>0 (362) 40 03 70</t>
  </si>
  <si>
    <t>вул. Берчені, 86</t>
  </si>
  <si>
    <t>0 (312) 44 10 05</t>
  </si>
  <si>
    <t>просп. Московський, 91</t>
  </si>
  <si>
    <t>0 (57) 750 63 68</t>
  </si>
  <si>
    <t>вул. Нафтовиків, 2-А</t>
  </si>
  <si>
    <t>0 (552) 39 08 30</t>
  </si>
  <si>
    <t>Хмельницький</t>
  </si>
  <si>
    <t>0 (382) 70 58 20</t>
  </si>
  <si>
    <t>Черкаси</t>
  </si>
  <si>
    <t>0 (472) 38 40 07</t>
  </si>
  <si>
    <t>Чернігів</t>
  </si>
  <si>
    <t>вул. Олександра Молодчого, 3</t>
  </si>
  <si>
    <t>0 (462) 92 20 03</t>
  </si>
  <si>
    <t>Чернівці</t>
  </si>
  <si>
    <t>0 (372) 90 06 09</t>
  </si>
  <si>
    <t>Тернопіль</t>
  </si>
  <si>
    <t>0 (352) 42 54 38</t>
  </si>
  <si>
    <t>Кишинів</t>
  </si>
  <si>
    <t>Бєльці</t>
  </si>
  <si>
    <t>вул. Київська, 116-А</t>
  </si>
  <si>
    <t>вул. Третьякова, 17В</t>
  </si>
  <si>
    <t>Грузія</t>
  </si>
  <si>
    <t>Тбілісі</t>
  </si>
  <si>
    <t>вул. Чантладзе, 3-А</t>
  </si>
  <si>
    <t>+995 (32) 224 20 40 (4007)</t>
  </si>
  <si>
    <t>Батумі</t>
  </si>
  <si>
    <t>вул. Сухумі, 3</t>
  </si>
  <si>
    <t>+995 (32) 224 20 40 (4015)</t>
  </si>
  <si>
    <t>Кутаїсі</t>
  </si>
  <si>
    <t>вул. Гугунава, 20</t>
  </si>
  <si>
    <t>+995 (32) 224 20 40 (4010)</t>
  </si>
  <si>
    <t>на головну</t>
  </si>
  <si>
    <t>ЗМІСТ</t>
  </si>
  <si>
    <t>Акриловий камінь і мийки Corian</t>
  </si>
  <si>
    <t>Акриловий камінь і мийки Montelli</t>
  </si>
  <si>
    <t>Кварцовий камінь Silestone</t>
  </si>
  <si>
    <t>Кварцові мийки Silestone</t>
  </si>
  <si>
    <t>Панелі Invision</t>
  </si>
  <si>
    <t>Компакт-ламінат KronoCompact</t>
  </si>
  <si>
    <t>Пластик HPL від 1 листа</t>
  </si>
  <si>
    <t>Кварцова плитка Silestone</t>
  </si>
  <si>
    <t>Ціни вказані в гривнях з урахуванням ПДВ</t>
  </si>
  <si>
    <t>Акриловый камінь. Виробник — DuPont</t>
  </si>
  <si>
    <t>Дивіться види та характеристики акрилового каменю Corian® на сайті</t>
  </si>
  <si>
    <t>Дивіться види та характеристики акрилового каменю Montelli® на сайті</t>
  </si>
  <si>
    <t>Розміри</t>
  </si>
  <si>
    <t>Розмір</t>
  </si>
  <si>
    <t>Група</t>
  </si>
  <si>
    <t>Ціна</t>
  </si>
  <si>
    <t>Ціна, шт.</t>
  </si>
  <si>
    <t>Товщина</t>
  </si>
  <si>
    <t>Товщина, мм</t>
  </si>
  <si>
    <t>Ширина, мм</t>
  </si>
  <si>
    <t>Довжина, мм</t>
  </si>
  <si>
    <t>Мийки DuPont™ Corian®</t>
  </si>
  <si>
    <t>Мийки DuPont™ Montelli®</t>
  </si>
  <si>
    <t>Мийки SILESTONE®</t>
  </si>
  <si>
    <t>подивитися моделі мийок з розмірами на сайті</t>
  </si>
  <si>
    <t>*Моделі доступні також у декорі Design White</t>
  </si>
  <si>
    <t>Мийки з металевим дном</t>
  </si>
  <si>
    <t>Цінова група</t>
  </si>
  <si>
    <t>0–1</t>
  </si>
  <si>
    <t>Подивитися акції  на  Corian®!</t>
  </si>
  <si>
    <t>Додатковий матеріал</t>
  </si>
  <si>
    <t>Дивіться види та характеристики додаткових матеріалів на сайті</t>
  </si>
  <si>
    <r>
      <t xml:space="preserve">Клей CORIAN </t>
    </r>
    <r>
      <rPr>
        <sz val="9"/>
        <color indexed="8"/>
        <rFont val="Arial Cyr"/>
        <family val="2"/>
      </rPr>
      <t>(50 мл)</t>
    </r>
  </si>
  <si>
    <r>
      <t xml:space="preserve">Пістолет для нанесення клею </t>
    </r>
    <r>
      <rPr>
        <sz val="9"/>
        <color indexed="8"/>
        <rFont val="Arial Cyr"/>
        <family val="2"/>
      </rPr>
      <t>(50 мл)</t>
    </r>
  </si>
  <si>
    <t>Насадка для змішування клею</t>
  </si>
  <si>
    <t>Акриловий камінь DuPont</t>
  </si>
  <si>
    <t>Ціна в гривнях з урахуванням ПДВ</t>
  </si>
  <si>
    <t>3D-панелі DuPont</t>
  </si>
  <si>
    <t>Назва</t>
  </si>
  <si>
    <t>Ціни вказані за м2 у гривнях з урахуванням ПДВ</t>
  </si>
  <si>
    <t>(Виробник — компанія Cosentino, Іспанія)</t>
  </si>
  <si>
    <t>Дивіться види та характеристики панелей INVISION на сайті</t>
  </si>
  <si>
    <t>Кварцова плитка SILESTONE®</t>
  </si>
  <si>
    <t>Роздрібні ціни на  плитку ( грн/м²)  SILESTONE® у глянцевій текстурі поверхні (polished)</t>
  </si>
  <si>
    <t>(2,88 м2)</t>
  </si>
  <si>
    <t>(4,35 м2)</t>
  </si>
  <si>
    <t>(2,40 м2 )</t>
  </si>
  <si>
    <t>(5,85 м2)</t>
  </si>
  <si>
    <t>(6,82 м2)</t>
  </si>
  <si>
    <t>Колір</t>
  </si>
  <si>
    <t>дренажний вентиль</t>
  </si>
  <si>
    <t>Панелі INVISION</t>
  </si>
  <si>
    <t>(виробник — DesignPanel, Німеччина)</t>
  </si>
  <si>
    <t>Роздріб м2 панелей INVISION у гривнях з урахуванням ПДВ</t>
  </si>
  <si>
    <t>Декор</t>
  </si>
  <si>
    <t>Наповнення</t>
  </si>
  <si>
    <t>16 мм</t>
  </si>
  <si>
    <t>24 мм</t>
  </si>
  <si>
    <t>Мінімальне замовлення 1 лист  для</t>
  </si>
  <si>
    <t>розмірів листів, мм:</t>
  </si>
  <si>
    <t>1200×2400</t>
  </si>
  <si>
    <t>1450×3000</t>
  </si>
  <si>
    <t>1200×2000</t>
  </si>
  <si>
    <t>1950×3000</t>
  </si>
  <si>
    <t>1950×3500</t>
  </si>
  <si>
    <t>(можна різні товщини й декори, але один розмір листів)</t>
  </si>
  <si>
    <t>Система знижок:</t>
  </si>
  <si>
    <t>Мінімальне замовлення 20 листів для</t>
  </si>
  <si>
    <t xml:space="preserve"> від 5 листів </t>
  </si>
  <si>
    <t>3–5 листів</t>
  </si>
  <si>
    <t>павутинка рідкісна з чорних ниток</t>
  </si>
  <si>
    <t>пучки зеленої трави</t>
  </si>
  <si>
    <t>тканина 0</t>
  </si>
  <si>
    <t>тканина 1</t>
  </si>
  <si>
    <t>тканина 2</t>
  </si>
  <si>
    <t>тканина 3</t>
  </si>
  <si>
    <t>тканина 4</t>
  </si>
  <si>
    <t>тканина 5</t>
  </si>
  <si>
    <t>стебла трави яскраво-зеленої 1 шар</t>
  </si>
  <si>
    <t>стебла трави яскраво-зеленої 2 шари</t>
  </si>
  <si>
    <t>велика рогожка</t>
  </si>
  <si>
    <t>Дивіться види та характеристики пластику HPL на сайті</t>
  </si>
  <si>
    <t>асаї (стебла)</t>
  </si>
  <si>
    <t>камінь сіро-чорний</t>
  </si>
  <si>
    <t>чорний</t>
  </si>
  <si>
    <t>рогожка бронзова</t>
  </si>
  <si>
    <t>бамбук 2 шари (коричневий, оранжевий, зелено-жовтий)</t>
  </si>
  <si>
    <t>трава сіро-зелена — 1 шар</t>
  </si>
  <si>
    <t>трава сіро-зелена — 2 шари</t>
  </si>
  <si>
    <t>гілочки коричневі з бруньками</t>
  </si>
  <si>
    <t>трава зелено-синя — 1 шар</t>
  </si>
  <si>
    <t>трава зелено-синя — 2 шари</t>
  </si>
  <si>
    <t>кава</t>
  </si>
  <si>
    <t>пшениця</t>
  </si>
  <si>
    <t>краплі</t>
  </si>
  <si>
    <t>папороть темно-зелена</t>
  </si>
  <si>
    <t>яскраво-жовті бульбашки</t>
  </si>
  <si>
    <t>трава яскраво-зелена 1 шар</t>
  </si>
  <si>
    <t>трава яскраво-зелена 2 шари</t>
  </si>
  <si>
    <t>суцвіття лаванди фіолетової на стеблинках</t>
  </si>
  <si>
    <t>бур’ян салатовий/бур’ян червоний</t>
  </si>
  <si>
    <t>бамбук 1 шар (коричневий, оранжевий, рудий, жовто-зелений)</t>
  </si>
  <si>
    <t>корейський папір білий з дірочками</t>
  </si>
  <si>
    <t>корейський папір сріблястий з дірочками</t>
  </si>
  <si>
    <t>корейський папір золотий з дірочками</t>
  </si>
  <si>
    <t>Виробник — KronoSpan Pustkow, Польща</t>
  </si>
  <si>
    <t>Дивіться види та характеристики компакт-ламінату KronoCompact на сайті</t>
  </si>
  <si>
    <t>у гривнях з урахуванням ПДВ</t>
  </si>
  <si>
    <t>Ціни на пластик HPL (стандартний і постформований),</t>
  </si>
  <si>
    <t xml:space="preserve">Ціни на компакт-ламінат з кольоровим стрижнем (виробник — Kronospan) </t>
  </si>
  <si>
    <t>Вартість м2 у гривнях з урахуванням ПДВ</t>
  </si>
  <si>
    <t>Можливість замовляти від одного листа, товщина 0,8 мм, стандарт</t>
  </si>
  <si>
    <t>Мийки виготовляються у декорах:</t>
  </si>
  <si>
    <t>**Моделі виготовляються тільки в декорі Glacier White</t>
  </si>
  <si>
    <t>Мийки виготовляються в декорі: 701</t>
  </si>
  <si>
    <t>пір’я чорне та біле</t>
  </si>
  <si>
    <t>листя біле напівпрозоре з прожилками</t>
  </si>
  <si>
    <t>сплетіння білих ниток</t>
  </si>
  <si>
    <t>сплетіння сріблястих ниток</t>
  </si>
  <si>
    <t>товщина, мм</t>
  </si>
  <si>
    <t xml:space="preserve">Ціна на пластик HPL (виробник — Kronospan) </t>
  </si>
  <si>
    <t xml:space="preserve">Ціни на пластик HPL важкогорючий (виробник — Kronospan) </t>
  </si>
  <si>
    <t>Дивіться види та характеристики кварцового каменю Silestone на сайті</t>
  </si>
  <si>
    <t>Україна</t>
  </si>
  <si>
    <t>0 (44) 201 15 40
відділ продажів</t>
  </si>
  <si>
    <t>Мапа проїзду</t>
  </si>
  <si>
    <t>вул. Промислова, 60</t>
  </si>
  <si>
    <t>просп. Хіміків, 3</t>
  </si>
  <si>
    <t>вага кв.м в товщині:</t>
  </si>
  <si>
    <t>12мм</t>
  </si>
  <si>
    <t>30кг</t>
  </si>
  <si>
    <t>20мм</t>
  </si>
  <si>
    <t>50кг</t>
  </si>
  <si>
    <t>30мм</t>
  </si>
  <si>
    <t>на главную</t>
  </si>
  <si>
    <t>6мм</t>
  </si>
  <si>
    <t>8мм</t>
  </si>
  <si>
    <t>10мм</t>
  </si>
  <si>
    <t>стержень</t>
  </si>
  <si>
    <t>0110 SM</t>
  </si>
  <si>
    <t>0101 PE</t>
  </si>
  <si>
    <t>0112 PE</t>
  </si>
  <si>
    <t>0121 BS</t>
  </si>
  <si>
    <t>0125 BS</t>
  </si>
  <si>
    <t>0132 BS</t>
  </si>
  <si>
    <t>0134 BS</t>
  </si>
  <si>
    <t>0149 BS</t>
  </si>
  <si>
    <t>0162 PE</t>
  </si>
  <si>
    <t>0164 PE</t>
  </si>
  <si>
    <t>0171 PE</t>
  </si>
  <si>
    <t>0182 BS</t>
  </si>
  <si>
    <t>0190 PE</t>
  </si>
  <si>
    <t>0191 SU</t>
  </si>
  <si>
    <t>0197 SU</t>
  </si>
  <si>
    <t>0244 SU</t>
  </si>
  <si>
    <t>0245 SU</t>
  </si>
  <si>
    <t>0301 SU</t>
  </si>
  <si>
    <t>0514 PE</t>
  </si>
  <si>
    <t>0515 PE</t>
  </si>
  <si>
    <t>0522 PE</t>
  </si>
  <si>
    <t>0540 PE</t>
  </si>
  <si>
    <t>0564 PE</t>
  </si>
  <si>
    <t>0859 PE</t>
  </si>
  <si>
    <t>0881 PE</t>
  </si>
  <si>
    <t>1700 PE</t>
  </si>
  <si>
    <t>5515 BS</t>
  </si>
  <si>
    <t>5519 BS</t>
  </si>
  <si>
    <t>5981 BS</t>
  </si>
  <si>
    <t>5982 BS</t>
  </si>
  <si>
    <t>6299 BS</t>
  </si>
  <si>
    <t>7031 BS</t>
  </si>
  <si>
    <t>7045 SU</t>
  </si>
  <si>
    <t>7063 SU</t>
  </si>
  <si>
    <t>7113 BS</t>
  </si>
  <si>
    <t>7123 BS</t>
  </si>
  <si>
    <t>7166 BS</t>
  </si>
  <si>
    <t>7167 SU</t>
  </si>
  <si>
    <t>7176 BS</t>
  </si>
  <si>
    <t>7179 BS</t>
  </si>
  <si>
    <t>7180 BS</t>
  </si>
  <si>
    <t>7184 BS</t>
  </si>
  <si>
    <t>7190 BS</t>
  </si>
  <si>
    <t>8100 SM</t>
  </si>
  <si>
    <t>8348 PE</t>
  </si>
  <si>
    <t>8533 BS</t>
  </si>
  <si>
    <t>8534 BS</t>
  </si>
  <si>
    <t>8536 BS</t>
  </si>
  <si>
    <t>8681 SU</t>
  </si>
  <si>
    <t>8685 BS</t>
  </si>
  <si>
    <t>8984 BS</t>
  </si>
  <si>
    <t>8996 BS</t>
  </si>
  <si>
    <t>9551 BS</t>
  </si>
  <si>
    <t>9561 BS</t>
  </si>
  <si>
    <t>K096 SU</t>
  </si>
  <si>
    <t>K097 SU</t>
  </si>
  <si>
    <t>K098 SU</t>
  </si>
  <si>
    <t>K099 SU</t>
  </si>
  <si>
    <t>K100 SU</t>
  </si>
  <si>
    <t>Contempo</t>
  </si>
  <si>
    <t>4298 SU</t>
  </si>
  <si>
    <t>4299 SU</t>
  </si>
  <si>
    <t>5501 SN</t>
  </si>
  <si>
    <t>5527 SN</t>
  </si>
  <si>
    <t>5529 SN</t>
  </si>
  <si>
    <t>7648 SN</t>
  </si>
  <si>
    <t>8508 SN</t>
  </si>
  <si>
    <t>8509 SN</t>
  </si>
  <si>
    <t>8547 SN</t>
  </si>
  <si>
    <t>8548 SN</t>
  </si>
  <si>
    <t>K010 SN</t>
  </si>
  <si>
    <t>K011 SN</t>
  </si>
  <si>
    <t xml:space="preserve">                                 </t>
  </si>
  <si>
    <t>K021 SN</t>
  </si>
  <si>
    <t>K022 SN</t>
  </si>
  <si>
    <t>K079 PW</t>
  </si>
  <si>
    <t>K080 PW</t>
  </si>
  <si>
    <t>K081 PW</t>
  </si>
  <si>
    <t>K082 PW</t>
  </si>
  <si>
    <t>K083 SN</t>
  </si>
  <si>
    <t>K084 SN</t>
  </si>
  <si>
    <t>K085 PW</t>
  </si>
  <si>
    <t>K086 PW</t>
  </si>
  <si>
    <t>K087 PW</t>
  </si>
  <si>
    <t>K088 PW</t>
  </si>
  <si>
    <t>K089 PW</t>
  </si>
  <si>
    <t>K105 PW</t>
  </si>
  <si>
    <t>K107 PW</t>
  </si>
  <si>
    <t>K108 SU</t>
  </si>
  <si>
    <t>Standard</t>
  </si>
  <si>
    <t>0344 PR</t>
  </si>
  <si>
    <t>0375 PR</t>
  </si>
  <si>
    <t>0381 PR</t>
  </si>
  <si>
    <t>0481 BS</t>
  </si>
  <si>
    <t>0729 PR</t>
  </si>
  <si>
    <t>0740 PR</t>
  </si>
  <si>
    <t>0854 BS</t>
  </si>
  <si>
    <t>1715 BS</t>
  </si>
  <si>
    <t>1912 BS</t>
  </si>
  <si>
    <t>3025 SN</t>
  </si>
  <si>
    <t>5194 SN</t>
  </si>
  <si>
    <t>5500 SU</t>
  </si>
  <si>
    <t>8361 SN</t>
  </si>
  <si>
    <t>8362 SN</t>
  </si>
  <si>
    <t>8431 SN</t>
  </si>
  <si>
    <t>8622 PR</t>
  </si>
  <si>
    <t>8656 SN</t>
  </si>
  <si>
    <t>8657 SN</t>
  </si>
  <si>
    <t>8921 PR</t>
  </si>
  <si>
    <t>8925 BS</t>
  </si>
  <si>
    <t>8953 SU</t>
  </si>
  <si>
    <t>8995 SN</t>
  </si>
  <si>
    <t>9455 PR</t>
  </si>
  <si>
    <t>9614 BS</t>
  </si>
  <si>
    <t>9763 BS</t>
  </si>
  <si>
    <t>K001 PW</t>
  </si>
  <si>
    <t>K002 PW</t>
  </si>
  <si>
    <t>K003 PW</t>
  </si>
  <si>
    <t>K004 PW</t>
  </si>
  <si>
    <t>K005 PW</t>
  </si>
  <si>
    <t>K006 PW</t>
  </si>
  <si>
    <t>K007 PW</t>
  </si>
  <si>
    <t>K018 PW</t>
  </si>
  <si>
    <t>K019 PW</t>
  </si>
  <si>
    <t>K020 PW</t>
  </si>
  <si>
    <t>K076 PW</t>
  </si>
  <si>
    <t>K077 PW</t>
  </si>
  <si>
    <t>K078 PW</t>
  </si>
  <si>
    <t>K090 PW</t>
  </si>
  <si>
    <t>4298 UE</t>
  </si>
  <si>
    <t>4299 UE</t>
  </si>
  <si>
    <t>5527 FP</t>
  </si>
  <si>
    <t>7045 RS</t>
  </si>
  <si>
    <t>8685 RS</t>
  </si>
  <si>
    <t>K002 FP</t>
  </si>
  <si>
    <t>K003 FP</t>
  </si>
  <si>
    <t>K013 SU</t>
  </si>
  <si>
    <t>K016 SU</t>
  </si>
  <si>
    <t>K023 SQ</t>
  </si>
  <si>
    <t>K024 SU</t>
  </si>
  <si>
    <t>K025 SU</t>
  </si>
  <si>
    <t>K025 SQ</t>
  </si>
  <si>
    <t>K026 SU</t>
  </si>
  <si>
    <t>K027 SU</t>
  </si>
  <si>
    <t>K028 SU</t>
  </si>
  <si>
    <t>K029 SU</t>
  </si>
  <si>
    <t>K030 SU</t>
  </si>
  <si>
    <t>K091 FP</t>
  </si>
  <si>
    <t>K092 FP</t>
  </si>
  <si>
    <t>K095 SU</t>
  </si>
  <si>
    <t>K102 SU</t>
  </si>
  <si>
    <t>K201 RS</t>
  </si>
  <si>
    <t>K202 RS</t>
  </si>
  <si>
    <t>K203 PE</t>
  </si>
  <si>
    <t>K204 PE</t>
  </si>
  <si>
    <t>K205 RS</t>
  </si>
  <si>
    <t>K206 PE</t>
  </si>
  <si>
    <t>K207 RS</t>
  </si>
  <si>
    <t>K209 RS</t>
  </si>
  <si>
    <t>Color I</t>
  </si>
  <si>
    <t>Color II</t>
  </si>
  <si>
    <t>Мінімальне замовлення/листів</t>
  </si>
  <si>
    <t>3050х1320</t>
  </si>
  <si>
    <t>5600х2040</t>
  </si>
  <si>
    <t>4200х1320</t>
  </si>
  <si>
    <t>0171 MG</t>
  </si>
  <si>
    <t>0190 MG</t>
  </si>
  <si>
    <t>0191 MG</t>
  </si>
  <si>
    <t>0514 MG</t>
  </si>
  <si>
    <t>5981 MG</t>
  </si>
  <si>
    <t>6299 MG</t>
  </si>
  <si>
    <t>7045 MG</t>
  </si>
  <si>
    <t>8533 MG</t>
  </si>
  <si>
    <t>8685 MG</t>
  </si>
  <si>
    <t>0551 BS</t>
  </si>
  <si>
    <t>7167 BS</t>
  </si>
  <si>
    <t>8361SN</t>
  </si>
  <si>
    <t>K008 PW</t>
  </si>
  <si>
    <t>K009 PW</t>
  </si>
  <si>
    <t>K012 SU</t>
  </si>
  <si>
    <t>K014 SU</t>
  </si>
  <si>
    <t>K015 PW</t>
  </si>
  <si>
    <t>K016 PW</t>
  </si>
  <si>
    <t>K017 PW</t>
  </si>
  <si>
    <t>K208 RS</t>
  </si>
  <si>
    <t>K210 CR</t>
  </si>
  <si>
    <t>K105 FP</t>
  </si>
  <si>
    <t>K107 FP</t>
  </si>
  <si>
    <t>K200 RS</t>
  </si>
  <si>
    <t>K093 SL</t>
  </si>
  <si>
    <t>K094 SL</t>
  </si>
  <si>
    <t>K103 SL</t>
  </si>
  <si>
    <t>K104 SL</t>
  </si>
  <si>
    <t>K217 GG</t>
  </si>
  <si>
    <t>K218 GG</t>
  </si>
  <si>
    <t>Декор/товщина</t>
  </si>
  <si>
    <t>1,2 мм</t>
  </si>
  <si>
    <t>1,4 мм</t>
  </si>
  <si>
    <t>2,5 мм</t>
  </si>
  <si>
    <t>Мінімальне замовлення</t>
  </si>
  <si>
    <t>Формат листа</t>
  </si>
  <si>
    <t>Коди декорів по ціновим групам:</t>
  </si>
  <si>
    <t>0,8 мм, стандарт</t>
  </si>
  <si>
    <t>Формат:</t>
  </si>
  <si>
    <t>Мінімальне замовлення:</t>
  </si>
  <si>
    <t>Группа 1</t>
  </si>
  <si>
    <t>Группа 2</t>
  </si>
  <si>
    <t>7166 MG</t>
  </si>
  <si>
    <t>Группа 3</t>
  </si>
  <si>
    <t>Группа 4</t>
  </si>
  <si>
    <t>Группа 5</t>
  </si>
  <si>
    <t>0190 AF</t>
  </si>
  <si>
    <t>4771 AF</t>
  </si>
  <si>
    <t>K023 SU</t>
  </si>
  <si>
    <t>Плиты MPB</t>
  </si>
  <si>
    <t>Виробник - KronoSpan Pustkow, Польща</t>
  </si>
  <si>
    <r>
      <t xml:space="preserve"> Ціни вказані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з ПДВ</t>
    </r>
  </si>
  <si>
    <t>грн/м2</t>
  </si>
  <si>
    <t>0101, 0164, 0182, 0191/BS</t>
  </si>
  <si>
    <t>2800х1250 мм</t>
  </si>
  <si>
    <t>Мінімальне замовлення - 30 листов</t>
  </si>
  <si>
    <t>Ширина:</t>
  </si>
  <si>
    <t>м.кв</t>
  </si>
  <si>
    <t>12 mm</t>
  </si>
  <si>
    <t>760 mm</t>
  </si>
  <si>
    <t>Товщина:</t>
  </si>
  <si>
    <t>Довжина: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</si>
  <si>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листі</t>
    </r>
  </si>
  <si>
    <t>* матеріал для замовлення недоступний, розпродається</t>
  </si>
  <si>
    <t>*Знятий з виробництва</t>
  </si>
  <si>
    <t>По наявності матеріалу уточнювати у менеджерів</t>
  </si>
  <si>
    <t xml:space="preserve">мат </t>
  </si>
  <si>
    <t>вулкано</t>
  </si>
  <si>
    <t>30 мм</t>
  </si>
  <si>
    <t>Blanco City</t>
  </si>
  <si>
    <t>N</t>
  </si>
  <si>
    <t>J</t>
  </si>
  <si>
    <t>Blanco Maple 14</t>
  </si>
  <si>
    <t>Blanco Norte 14</t>
  </si>
  <si>
    <t>Ironbark</t>
  </si>
  <si>
    <r>
      <t xml:space="preserve">Miami White 17              </t>
    </r>
    <r>
      <rPr>
        <b/>
        <sz val="10"/>
        <color indexed="10"/>
        <rFont val="Arial Cyr"/>
        <family val="0"/>
      </rPr>
      <t>заказ</t>
    </r>
  </si>
  <si>
    <t>Negro Tebas 18</t>
  </si>
  <si>
    <r>
      <t xml:space="preserve">Niebla                                   </t>
    </r>
    <r>
      <rPr>
        <b/>
        <sz val="10"/>
        <color indexed="10"/>
        <rFont val="Arial Cyr"/>
        <family val="0"/>
      </rPr>
      <t>!</t>
    </r>
  </si>
  <si>
    <t>Bianco Rivers</t>
  </si>
  <si>
    <t>Blanco Stellar 13</t>
  </si>
  <si>
    <t>Negro Stellar</t>
  </si>
  <si>
    <r>
      <t xml:space="preserve">White Arabesque           </t>
    </r>
    <r>
      <rPr>
        <b/>
        <sz val="10"/>
        <color indexed="10"/>
        <rFont val="Arial Cyr"/>
        <family val="0"/>
      </rPr>
      <t>заказ</t>
    </r>
  </si>
  <si>
    <t>White Storm 14</t>
  </si>
  <si>
    <t>BlancoZeus</t>
  </si>
  <si>
    <t>Charcoal Soapstone</t>
  </si>
  <si>
    <t>Copper Mist</t>
  </si>
  <si>
    <t>Iconic Black</t>
  </si>
  <si>
    <r>
      <t xml:space="preserve">Lusso   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</si>
  <si>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Ariel                             </t>
    </r>
    <r>
      <rPr>
        <b/>
        <sz val="10"/>
        <color indexed="10"/>
        <rFont val="Arial Cyr"/>
        <family val="0"/>
      </rPr>
      <t xml:space="preserve"> заказ</t>
    </r>
  </si>
  <si>
    <t>Eternal Marquina</t>
  </si>
  <si>
    <t>Eternal Serena</t>
  </si>
  <si>
    <t>Eternal Statuario</t>
  </si>
  <si>
    <r>
      <t xml:space="preserve">Ocean Jasper          </t>
    </r>
    <r>
      <rPr>
        <b/>
        <sz val="10"/>
        <color indexed="10"/>
        <rFont val="Arial Cyr"/>
        <family val="0"/>
      </rPr>
      <t xml:space="preserve">      заказ</t>
    </r>
  </si>
  <si>
    <r>
      <t xml:space="preserve">Ocean Storm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</si>
  <si>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Pacifica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</si>
  <si>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Pietra        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</si>
  <si>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Sienna Ridge 12            </t>
    </r>
    <r>
      <rPr>
        <b/>
        <sz val="10"/>
        <color indexed="10"/>
        <rFont val="Arial Cyr"/>
        <family val="0"/>
      </rPr>
      <t xml:space="preserve"> заказ   </t>
    </r>
  </si>
  <si>
    <t>Eternal Calacatta Gold</t>
  </si>
  <si>
    <t>глянець</t>
  </si>
  <si>
    <t>ВАЖЛИВО!!</t>
  </si>
  <si>
    <t>Для поверхонь Мат і Вулкано вартість наступна:</t>
  </si>
  <si>
    <t>Обозначення:</t>
  </si>
  <si>
    <t>* - необхідно уточнювати доступний формат слябу</t>
  </si>
  <si>
    <r>
      <t>заказ</t>
    </r>
    <r>
      <rPr>
        <sz val="10"/>
        <rFont val="Arial Cyr"/>
        <family val="2"/>
      </rPr>
      <t xml:space="preserve"> - не складська позиція, під замовлення</t>
    </r>
  </si>
  <si>
    <r>
      <t>!</t>
    </r>
    <r>
      <rPr>
        <sz val="10"/>
        <rFont val="Arial Cyr"/>
        <family val="2"/>
      </rPr>
      <t xml:space="preserve"> - товар є на складі, по закінченню на складі буде переведений в категорію </t>
    </r>
    <r>
      <rPr>
        <b/>
        <sz val="10"/>
        <color indexed="10"/>
        <rFont val="Arial Cyr"/>
        <family val="0"/>
      </rPr>
      <t>під замовлення</t>
    </r>
  </si>
  <si>
    <t>стандартні розміри слябів:</t>
  </si>
  <si>
    <t>N - 1400*3060мм (площа листа - 4,28 кв. м)</t>
  </si>
  <si>
    <t>J - 1590*3250мм (площа листа - 5,17 кв. м)</t>
  </si>
  <si>
    <t>Формат</t>
  </si>
  <si>
    <t>Alpina White</t>
  </si>
  <si>
    <t>Bamboo</t>
  </si>
  <si>
    <t>Ariel</t>
  </si>
  <si>
    <t>Bianco Calacatta</t>
  </si>
  <si>
    <t>Blanco Orion</t>
  </si>
  <si>
    <t>Calypso</t>
  </si>
  <si>
    <t>Classic Calacatta</t>
  </si>
  <si>
    <t>Rougui</t>
  </si>
  <si>
    <t>Eternal Emperador</t>
  </si>
  <si>
    <t>Blanco Rivers</t>
  </si>
  <si>
    <t>Eternal Marfil</t>
  </si>
  <si>
    <t>Miami White</t>
  </si>
  <si>
    <t>White Diamond</t>
  </si>
  <si>
    <t>Classic White</t>
  </si>
  <si>
    <t>Cygnus</t>
  </si>
  <si>
    <t>Iconic White</t>
  </si>
  <si>
    <t>Royal Reef</t>
  </si>
  <si>
    <t>Desert Silver</t>
  </si>
  <si>
    <t>Kimbler Mist</t>
  </si>
  <si>
    <t>Lusso</t>
  </si>
  <si>
    <t>Mountain Mist</t>
  </si>
  <si>
    <t>Ocean Jasper</t>
  </si>
  <si>
    <t>Ocean Storm</t>
  </si>
  <si>
    <t>Pearl Jasmine</t>
  </si>
  <si>
    <t>Pacifica</t>
  </si>
  <si>
    <t>White Arabesque</t>
  </si>
  <si>
    <t>Pietra</t>
  </si>
  <si>
    <t>Snowy Ibiza</t>
  </si>
  <si>
    <t>Sienna Ridge</t>
  </si>
  <si>
    <t>Stellar Grey</t>
  </si>
  <si>
    <t>упаковка</t>
  </si>
  <si>
    <t>штук в одной упаковке</t>
  </si>
  <si>
    <t>вес кв м, кг</t>
  </si>
  <si>
    <t>вес 1 упаковки</t>
  </si>
  <si>
    <t>Смотрите виды и характеристики моек Silestone на сайте:</t>
  </si>
  <si>
    <t>TOP</t>
  </si>
  <si>
    <t>Q</t>
  </si>
  <si>
    <t>542*442*175</t>
  </si>
  <si>
    <t>400*370*175</t>
  </si>
  <si>
    <t>540*400*175</t>
  </si>
  <si>
    <t>670*435*230</t>
  </si>
  <si>
    <t>510*370*155</t>
  </si>
  <si>
    <t>510*410*215</t>
  </si>
  <si>
    <t>Грн/шт</t>
  </si>
  <si>
    <t>-</t>
  </si>
  <si>
    <t>Blanco Zues</t>
  </si>
  <si>
    <r>
      <t>Ціни вказанв в ГРН</t>
    </r>
    <r>
      <rPr>
        <b/>
        <sz val="11"/>
        <color indexed="63"/>
        <rFont val="Arial Cyr"/>
        <family val="0"/>
      </rPr>
      <t xml:space="preserve"> з</t>
    </r>
    <r>
      <rPr>
        <sz val="11"/>
        <color indexed="63"/>
        <rFont val="Arial Cyr"/>
        <family val="2"/>
      </rPr>
      <t xml:space="preserve"> НДС</t>
    </r>
  </si>
  <si>
    <t>(Виробник - компанія Cosentino, Іспанія)</t>
  </si>
  <si>
    <t>Размір</t>
  </si>
  <si>
    <t>* Ціни мийок вказані в текстурі POLISHED (глянець). SUEDE - +15% до вартості глянцевої текстури.</t>
  </si>
  <si>
    <t>В комплект мийки входить :</t>
  </si>
  <si>
    <t>силікон в колір мийки</t>
  </si>
  <si>
    <t>шаблон для вирізу отвору на стільниці</t>
  </si>
  <si>
    <t>троси для підтримки мийки</t>
  </si>
  <si>
    <t>Текстура</t>
  </si>
  <si>
    <t>Коллекция</t>
  </si>
  <si>
    <t>matt</t>
  </si>
  <si>
    <t>Xgloss</t>
  </si>
  <si>
    <t>Grip +</t>
  </si>
  <si>
    <t>Blanc Concrete</t>
  </si>
  <si>
    <t>Sirocco</t>
  </si>
  <si>
    <t>I</t>
  </si>
  <si>
    <t>Danae</t>
  </si>
  <si>
    <t>Edora</t>
  </si>
  <si>
    <t>Fossil</t>
  </si>
  <si>
    <t>Keon</t>
  </si>
  <si>
    <t>Keranium</t>
  </si>
  <si>
    <t>Nayla</t>
  </si>
  <si>
    <r>
      <t>Sasea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new!</t>
    </r>
  </si>
  <si>
    <t>Sirius</t>
  </si>
  <si>
    <t>II</t>
  </si>
  <si>
    <t>Kelya</t>
  </si>
  <si>
    <t>Nilium</t>
  </si>
  <si>
    <t>Orix</t>
  </si>
  <si>
    <t>Radium</t>
  </si>
  <si>
    <t>Trilium</t>
  </si>
  <si>
    <t>Vienna</t>
  </si>
  <si>
    <t>III</t>
  </si>
  <si>
    <t>Aura 15</t>
  </si>
  <si>
    <t>Kairos</t>
  </si>
  <si>
    <t>Opera</t>
  </si>
  <si>
    <t>Zenith</t>
  </si>
  <si>
    <t>IV</t>
  </si>
  <si>
    <t>Aura 15 bookmatch</t>
  </si>
  <si>
    <t>Halo</t>
  </si>
  <si>
    <t>Natura 18</t>
  </si>
  <si>
    <t>вельвет</t>
  </si>
  <si>
    <r>
      <t>Ціни вказані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з НДС</t>
    </r>
  </si>
  <si>
    <t>Вартість Грн/м2</t>
  </si>
  <si>
    <t>Текстури:</t>
  </si>
  <si>
    <t>текстурна</t>
  </si>
  <si>
    <t>суперглянець</t>
  </si>
  <si>
    <r>
      <t xml:space="preserve">орієнтовний розмір слябів: </t>
    </r>
    <r>
      <rPr>
        <sz val="10"/>
        <color indexed="18"/>
        <rFont val="Arial Cyr"/>
        <family val="0"/>
      </rPr>
      <t xml:space="preserve"> 3200*1440мм (4,61 кв. м)</t>
    </r>
  </si>
  <si>
    <r>
      <t xml:space="preserve">орієнтовна вага кв м в товщинах:  </t>
    </r>
    <r>
      <rPr>
        <sz val="10"/>
        <color indexed="18"/>
        <rFont val="Arial Cyr"/>
        <family val="0"/>
      </rPr>
      <t xml:space="preserve">                                                                                                         8мм - 21кг,    12мм - 32кг,    20мм - 53 кг,    30мм - 75 кг</t>
    </r>
  </si>
  <si>
    <t>White</t>
  </si>
  <si>
    <t>Color Basic</t>
  </si>
  <si>
    <r>
      <t xml:space="preserve">Ціни вказані за кв м в </t>
    </r>
    <r>
      <rPr>
        <b/>
        <sz val="10"/>
        <rFont val="Arial Cyr"/>
        <family val="0"/>
      </rPr>
      <t>ГРИВНЯХ</t>
    </r>
    <r>
      <rPr>
        <sz val="10"/>
        <rFont val="Arial Cyr"/>
        <family val="2"/>
      </rPr>
      <t xml:space="preserve"> с ПДВ</t>
    </r>
  </si>
  <si>
    <t>Акриловий камінь Hi-Macs, виробник LG Hausys  (Корея)</t>
  </si>
  <si>
    <t xml:space="preserve">Розмір листа: </t>
  </si>
  <si>
    <t>12х760х3680 мм</t>
  </si>
  <si>
    <t>Колекція</t>
  </si>
  <si>
    <t>Код</t>
  </si>
  <si>
    <t>Назва кольору</t>
  </si>
  <si>
    <t>1 лист                             (2,7968 м2)</t>
  </si>
  <si>
    <t>Solid (белый)</t>
  </si>
  <si>
    <t>S028</t>
  </si>
  <si>
    <t xml:space="preserve">Solid </t>
  </si>
  <si>
    <t>S005</t>
  </si>
  <si>
    <t>Gray</t>
  </si>
  <si>
    <t>S006</t>
  </si>
  <si>
    <t>Arctic White</t>
  </si>
  <si>
    <t>S009</t>
  </si>
  <si>
    <t>Cream</t>
  </si>
  <si>
    <t>S022</t>
  </si>
  <si>
    <t>Black</t>
  </si>
  <si>
    <t>S025</t>
  </si>
  <si>
    <t>Fiery Red</t>
  </si>
  <si>
    <t>S026</t>
  </si>
  <si>
    <t>Banana</t>
  </si>
  <si>
    <t xml:space="preserve">S027 </t>
  </si>
  <si>
    <t>Orange</t>
  </si>
  <si>
    <t>S034</t>
  </si>
  <si>
    <t>Diamond White</t>
  </si>
  <si>
    <t xml:space="preserve">S100 </t>
  </si>
  <si>
    <t>Coffee Brown</t>
  </si>
  <si>
    <t>S104</t>
  </si>
  <si>
    <t>Toffee Brown</t>
  </si>
  <si>
    <t>S201</t>
  </si>
  <si>
    <t>Nougat Cream</t>
  </si>
  <si>
    <t>Lucent</t>
  </si>
  <si>
    <t>S302</t>
  </si>
  <si>
    <t>Opal</t>
  </si>
  <si>
    <t>S303</t>
  </si>
  <si>
    <t>Sapphire</t>
  </si>
  <si>
    <t>Sand &amp; Pearl</t>
  </si>
  <si>
    <t>G001</t>
  </si>
  <si>
    <t>Desert Sand</t>
  </si>
  <si>
    <t>G002</t>
  </si>
  <si>
    <t>Gray Sand</t>
  </si>
  <si>
    <t>G010</t>
  </si>
  <si>
    <t>Black Pearl</t>
  </si>
  <si>
    <t>G042</t>
  </si>
  <si>
    <t>Venetian Sand</t>
  </si>
  <si>
    <t>G047</t>
  </si>
  <si>
    <t>Black Bird</t>
  </si>
  <si>
    <t>G048</t>
  </si>
  <si>
    <t>Beach Sand</t>
  </si>
  <si>
    <t>G050</t>
  </si>
  <si>
    <t>Tapioca Pearl</t>
  </si>
  <si>
    <t>Quartz</t>
  </si>
  <si>
    <t>G004</t>
  </si>
  <si>
    <t>White Quartz</t>
  </si>
  <si>
    <t>G019</t>
  </si>
  <si>
    <t>Natural Quartz</t>
  </si>
  <si>
    <t>G038</t>
  </si>
  <si>
    <t>Sea Oat Quartz</t>
  </si>
  <si>
    <t>G058</t>
  </si>
  <si>
    <t>Moonscape Quartz</t>
  </si>
  <si>
    <t>G063</t>
  </si>
  <si>
    <t>Allspice Quartz</t>
  </si>
  <si>
    <t>G101</t>
  </si>
  <si>
    <t>Crystal Beige</t>
  </si>
  <si>
    <t>Granite</t>
  </si>
  <si>
    <t>G007</t>
  </si>
  <si>
    <t>Platinum Granite</t>
  </si>
  <si>
    <t>G034</t>
  </si>
  <si>
    <t>Arctic Granite</t>
  </si>
  <si>
    <t>G074</t>
  </si>
  <si>
    <t>Mocha Granite</t>
  </si>
  <si>
    <t>G100</t>
  </si>
  <si>
    <t>Peanut Butter</t>
  </si>
  <si>
    <t>G103</t>
  </si>
  <si>
    <t>Gray Onix</t>
  </si>
  <si>
    <t xml:space="preserve">G107 </t>
  </si>
  <si>
    <t>Pebble Pearl</t>
  </si>
  <si>
    <t xml:space="preserve">G108 </t>
  </si>
  <si>
    <t>Lunar Sand</t>
  </si>
  <si>
    <t>G109</t>
  </si>
  <si>
    <t>Beige Island</t>
  </si>
  <si>
    <t>G110</t>
  </si>
  <si>
    <t>Corona</t>
  </si>
  <si>
    <t>G111</t>
  </si>
  <si>
    <t>Macchiato</t>
  </si>
  <si>
    <t>G112</t>
  </si>
  <si>
    <t>Caramel</t>
  </si>
  <si>
    <t>G113</t>
  </si>
  <si>
    <t>Iceberg</t>
  </si>
  <si>
    <t>G114</t>
  </si>
  <si>
    <t>Clay</t>
  </si>
  <si>
    <t>G117</t>
  </si>
  <si>
    <t>Cappuccino</t>
  </si>
  <si>
    <t>G135</t>
  </si>
  <si>
    <t>Chamomile</t>
  </si>
  <si>
    <t>G136</t>
  </si>
  <si>
    <t>Darjeeling</t>
  </si>
  <si>
    <t>G137</t>
  </si>
  <si>
    <t>Winter Grey</t>
  </si>
  <si>
    <t>G138</t>
  </si>
  <si>
    <t>Earl Grey</t>
  </si>
  <si>
    <t>G139</t>
  </si>
  <si>
    <t>Rooibos</t>
  </si>
  <si>
    <t>G193</t>
  </si>
  <si>
    <t>Swany</t>
  </si>
  <si>
    <t>G194</t>
  </si>
  <si>
    <t>Sand White</t>
  </si>
  <si>
    <t>G195</t>
  </si>
  <si>
    <t>Sand Beige</t>
  </si>
  <si>
    <t>G196</t>
  </si>
  <si>
    <t>Sand Grey</t>
  </si>
  <si>
    <t>G295</t>
  </si>
  <si>
    <t>Baikal</t>
  </si>
  <si>
    <t>G501</t>
  </si>
  <si>
    <t>White Stella</t>
  </si>
  <si>
    <t>G502</t>
  </si>
  <si>
    <t>Winter Stella</t>
  </si>
  <si>
    <t>G503</t>
  </si>
  <si>
    <t>Night Stella</t>
  </si>
  <si>
    <t>G554</t>
  </si>
  <si>
    <t>Urban Conrete</t>
  </si>
  <si>
    <t>G555</t>
  </si>
  <si>
    <t>Steel Concrete</t>
  </si>
  <si>
    <t>G556</t>
  </si>
  <si>
    <t>Snow Concrete</t>
  </si>
  <si>
    <t>G557</t>
  </si>
  <si>
    <t>Cloud Concrete</t>
  </si>
  <si>
    <t>P001</t>
  </si>
  <si>
    <t>Perna White</t>
  </si>
  <si>
    <t>P004</t>
  </si>
  <si>
    <t>Perna Black</t>
  </si>
  <si>
    <t>Lucia</t>
  </si>
  <si>
    <t>W001</t>
  </si>
  <si>
    <t>Ice Queen</t>
  </si>
  <si>
    <t>W002</t>
  </si>
  <si>
    <t>Cloud</t>
  </si>
  <si>
    <t>W003</t>
  </si>
  <si>
    <t>Shadow Queen</t>
  </si>
  <si>
    <t>W004</t>
  </si>
  <si>
    <t>Star Queen</t>
  </si>
  <si>
    <t>W006</t>
  </si>
  <si>
    <t>Macadamia</t>
  </si>
  <si>
    <t>W010</t>
  </si>
  <si>
    <t>Red Quinoa</t>
  </si>
  <si>
    <t>W021</t>
  </si>
  <si>
    <t>Morining Calm</t>
  </si>
  <si>
    <t>W022</t>
  </si>
  <si>
    <t>Moon Dusk</t>
  </si>
  <si>
    <t>Volcanics</t>
  </si>
  <si>
    <t>VE01</t>
  </si>
  <si>
    <t>Tambora</t>
  </si>
  <si>
    <t>VB01</t>
  </si>
  <si>
    <t>Merapi</t>
  </si>
  <si>
    <t>VW01</t>
  </si>
  <si>
    <t>Gemini</t>
  </si>
  <si>
    <t>VA01</t>
  </si>
  <si>
    <t>Santa Ana</t>
  </si>
  <si>
    <t>Marmo</t>
  </si>
  <si>
    <t>M201</t>
  </si>
  <si>
    <t>Terni</t>
  </si>
  <si>
    <t>M203</t>
  </si>
  <si>
    <t>Lucca</t>
  </si>
  <si>
    <t>M306</t>
  </si>
  <si>
    <t>Breeze White</t>
  </si>
  <si>
    <t>M351</t>
  </si>
  <si>
    <t>Milan</t>
  </si>
  <si>
    <t>M352</t>
  </si>
  <si>
    <t>Vernazza</t>
  </si>
  <si>
    <t>M411</t>
  </si>
  <si>
    <t>Mesinna</t>
  </si>
  <si>
    <t>M412</t>
  </si>
  <si>
    <t>Foggia</t>
  </si>
  <si>
    <t>M423</t>
  </si>
  <si>
    <t>Ancona</t>
  </si>
  <si>
    <t>M424</t>
  </si>
  <si>
    <t>Lunar dust</t>
  </si>
  <si>
    <t>M904</t>
  </si>
  <si>
    <t>Naples</t>
  </si>
  <si>
    <t>M501</t>
  </si>
  <si>
    <t>Edessa</t>
  </si>
  <si>
    <t>M502</t>
  </si>
  <si>
    <t>Vathi</t>
  </si>
  <si>
    <t>M503</t>
  </si>
  <si>
    <t>Ferrara</t>
  </si>
  <si>
    <t>M552</t>
  </si>
  <si>
    <t>Shadow Concrete</t>
  </si>
  <si>
    <t>M553</t>
  </si>
  <si>
    <t>Ebony Concrete</t>
  </si>
  <si>
    <t>M601</t>
  </si>
  <si>
    <t>Aurora Torano</t>
  </si>
  <si>
    <t>M603</t>
  </si>
  <si>
    <t>Pavia new</t>
  </si>
  <si>
    <t>M605</t>
  </si>
  <si>
    <r>
      <t xml:space="preserve">Sanremo </t>
    </r>
    <r>
      <rPr>
        <b/>
        <sz val="10"/>
        <rFont val="Arial Cyr"/>
        <family val="0"/>
      </rPr>
      <t>new</t>
    </r>
  </si>
  <si>
    <t>M606</t>
  </si>
  <si>
    <r>
      <t xml:space="preserve">Aurora Bianco </t>
    </r>
    <r>
      <rPr>
        <b/>
        <sz val="10"/>
        <rFont val="Arial Cyr"/>
        <family val="0"/>
      </rPr>
      <t>new</t>
    </r>
  </si>
  <si>
    <t>M607</t>
  </si>
  <si>
    <r>
      <t>Aurora Cream</t>
    </r>
    <r>
      <rPr>
        <b/>
        <sz val="10"/>
        <rFont val="Arial Cyr"/>
        <family val="0"/>
      </rPr>
      <t xml:space="preserve"> new</t>
    </r>
  </si>
  <si>
    <t>M608</t>
  </si>
  <si>
    <r>
      <t xml:space="preserve">Aurora Grey </t>
    </r>
    <r>
      <rPr>
        <b/>
        <sz val="10"/>
        <rFont val="Arial Cyr"/>
        <family val="0"/>
      </rPr>
      <t>new</t>
    </r>
  </si>
  <si>
    <t>M612</t>
  </si>
  <si>
    <r>
      <t xml:space="preserve">Aurora Bisque </t>
    </r>
    <r>
      <rPr>
        <b/>
        <sz val="10"/>
        <rFont val="Arial Cyr"/>
        <family val="0"/>
      </rPr>
      <t>new</t>
    </r>
  </si>
  <si>
    <t>M613</t>
  </si>
  <si>
    <r>
      <t xml:space="preserve">Aurora Greige </t>
    </r>
    <r>
      <rPr>
        <b/>
        <sz val="10"/>
        <rFont val="Arial Cyr"/>
        <family val="0"/>
      </rPr>
      <t>new</t>
    </r>
  </si>
  <si>
    <t>M614</t>
  </si>
  <si>
    <r>
      <t xml:space="preserve">Aurora Umber </t>
    </r>
    <r>
      <rPr>
        <b/>
        <sz val="10"/>
        <rFont val="Arial Cyr"/>
        <family val="0"/>
      </rPr>
      <t>new</t>
    </r>
  </si>
  <si>
    <t>M615</t>
  </si>
  <si>
    <r>
      <t xml:space="preserve">Aurora Cotton </t>
    </r>
    <r>
      <rPr>
        <b/>
        <sz val="10"/>
        <rFont val="Arial Cyr"/>
        <family val="0"/>
      </rPr>
      <t>new</t>
    </r>
  </si>
  <si>
    <t>M616</t>
  </si>
  <si>
    <r>
      <t>Aurora Dove</t>
    </r>
    <r>
      <rPr>
        <b/>
        <sz val="10"/>
        <rFont val="Arial Cyr"/>
        <family val="0"/>
      </rPr>
      <t xml:space="preserve"> new</t>
    </r>
  </si>
  <si>
    <t>M617</t>
  </si>
  <si>
    <r>
      <t xml:space="preserve">Aurora Blanc </t>
    </r>
    <r>
      <rPr>
        <b/>
        <sz val="10"/>
        <rFont val="Arial Cyr"/>
        <family val="0"/>
      </rPr>
      <t>new</t>
    </r>
  </si>
  <si>
    <t>Galaxy</t>
  </si>
  <si>
    <t>T001</t>
  </si>
  <si>
    <t>Black Hole</t>
  </si>
  <si>
    <t>T010</t>
  </si>
  <si>
    <t>Nebula</t>
  </si>
  <si>
    <t>T011</t>
  </si>
  <si>
    <t>Venus</t>
  </si>
  <si>
    <t>T017</t>
  </si>
  <si>
    <t>Andromeda</t>
  </si>
  <si>
    <t>Volcanics Natural</t>
  </si>
  <si>
    <t>VE26</t>
  </si>
  <si>
    <t>Shasta</t>
  </si>
  <si>
    <t>* вказана ціна акційна, додаткова знижка не розповсюджується.</t>
  </si>
  <si>
    <t>** позиції, виділені жирним кольором є в наявності на складі.</t>
  </si>
  <si>
    <t>Усі кольори можливі для замовлення, мінімальний об'єм - 15 листів.</t>
  </si>
  <si>
    <t>Сопутствующий материал</t>
  </si>
  <si>
    <t>Клей Hi-Macs (45 мл) без носика</t>
  </si>
  <si>
    <r>
      <t xml:space="preserve">Пістолет для нанесення клею </t>
    </r>
    <r>
      <rPr>
        <sz val="9"/>
        <color indexed="8"/>
        <rFont val="Arial Cyr"/>
        <family val="2"/>
      </rPr>
      <t>(45 мл)</t>
    </r>
  </si>
  <si>
    <t>курс євро</t>
  </si>
  <si>
    <t>курс долара</t>
  </si>
  <si>
    <t>3658 mm</t>
  </si>
  <si>
    <t>A</t>
  </si>
  <si>
    <t>B</t>
  </si>
  <si>
    <t>C</t>
  </si>
  <si>
    <t>D</t>
  </si>
  <si>
    <t>E</t>
  </si>
  <si>
    <t>F</t>
  </si>
  <si>
    <t>G</t>
  </si>
  <si>
    <t>Ціна в грн з ПДВ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</si>
  <si>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у листі</t>
    </r>
  </si>
  <si>
    <t>760 мм</t>
  </si>
  <si>
    <t>3658 мм</t>
  </si>
  <si>
    <r>
      <t xml:space="preserve">Montelli  </t>
    </r>
    <r>
      <rPr>
        <sz val="11"/>
        <color indexed="8"/>
        <rFont val="Arial Cyr"/>
        <family val="2"/>
      </rPr>
      <t>A (101)</t>
    </r>
  </si>
  <si>
    <r>
      <t xml:space="preserve">Montelli </t>
    </r>
    <r>
      <rPr>
        <sz val="11"/>
        <color indexed="8"/>
        <rFont val="Arial Cyr"/>
        <family val="2"/>
      </rPr>
      <t>B (1069, 131, 1070, 1071, 1458, 252, 251, 1461, 207, 1460, 204, 1456, 201, 1457, 1459, 1462, 1455, 231, 306, 328)</t>
    </r>
  </si>
  <si>
    <r>
      <t xml:space="preserve">Mоntelli </t>
    </r>
    <r>
      <rPr>
        <sz val="11"/>
        <color indexed="8"/>
        <rFont val="Arial Cyr"/>
        <family val="2"/>
      </rPr>
      <t>C (2563, 2565)</t>
    </r>
  </si>
  <si>
    <r>
      <t>Ціни вказані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з ПДВ</t>
    </r>
  </si>
  <si>
    <r>
      <t>Вартість</t>
    </r>
    <r>
      <rPr>
        <b/>
        <sz val="10"/>
        <color indexed="10"/>
        <rFont val="Arial Cyr"/>
        <family val="0"/>
      </rPr>
      <t xml:space="preserve"> (тільки глянець)</t>
    </r>
  </si>
  <si>
    <r>
      <t xml:space="preserve">Pulsar                          </t>
    </r>
    <r>
      <rPr>
        <b/>
        <sz val="10"/>
        <color indexed="10"/>
        <rFont val="Arial Cyr"/>
        <family val="0"/>
      </rPr>
      <t xml:space="preserve">  заказ      </t>
    </r>
  </si>
  <si>
    <r>
      <t xml:space="preserve">Royal Reef   </t>
    </r>
    <r>
      <rPr>
        <b/>
        <sz val="10"/>
        <color indexed="10"/>
        <rFont val="Arial Cyr"/>
        <family val="0"/>
      </rPr>
      <t xml:space="preserve">                  заказ</t>
    </r>
  </si>
  <si>
    <r>
      <t xml:space="preserve">Alpina White 08              </t>
    </r>
    <r>
      <rPr>
        <b/>
        <sz val="10"/>
        <color indexed="10"/>
        <rFont val="Arial Cyr"/>
        <family val="0"/>
      </rPr>
      <t>заказ</t>
    </r>
  </si>
  <si>
    <r>
      <t xml:space="preserve">Cygnus 15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</si>
  <si>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Bamboo 08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</si>
  <si>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Snow Ibiza                    </t>
    </r>
    <r>
      <rPr>
        <b/>
        <sz val="10"/>
        <color indexed="10"/>
        <rFont val="Arial Cyr"/>
        <family val="0"/>
      </rPr>
      <t xml:space="preserve"> заказ   </t>
    </r>
    <r>
      <rPr>
        <sz val="10"/>
        <rFont val="Arial Cyr"/>
        <family val="2"/>
      </rPr>
      <t xml:space="preserve">  </t>
    </r>
    <r>
      <rPr>
        <b/>
        <sz val="10"/>
        <color indexed="10"/>
        <rFont val="Arial Cyr"/>
        <family val="0"/>
      </rPr>
      <t xml:space="preserve"> </t>
    </r>
  </si>
  <si>
    <r>
      <t xml:space="preserve">Stellar Grey                 </t>
    </r>
    <r>
      <rPr>
        <b/>
        <sz val="10"/>
        <color indexed="10"/>
        <rFont val="Arial Cyr"/>
        <family val="0"/>
      </rPr>
      <t xml:space="preserve">   заказ      </t>
    </r>
  </si>
  <si>
    <r>
      <t xml:space="preserve">Unsui                             </t>
    </r>
    <r>
      <rPr>
        <b/>
        <sz val="10"/>
        <color indexed="10"/>
        <rFont val="Arial Cyr"/>
        <family val="0"/>
      </rPr>
      <t>заказ</t>
    </r>
  </si>
  <si>
    <r>
      <t xml:space="preserve">Blanco Orion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</si>
  <si>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Calypso                      </t>
    </r>
    <r>
      <rPr>
        <b/>
        <sz val="10"/>
        <color indexed="10"/>
        <rFont val="Arial Cyr"/>
        <family val="0"/>
      </rPr>
      <t xml:space="preserve">   заказ  </t>
    </r>
  </si>
  <si>
    <t xml:space="preserve">Iconic White         </t>
  </si>
  <si>
    <r>
      <t xml:space="preserve">White Diamond           </t>
    </r>
    <r>
      <rPr>
        <b/>
        <sz val="10"/>
        <color indexed="10"/>
        <rFont val="Arial Cyr"/>
        <family val="0"/>
      </rPr>
      <t xml:space="preserve">   заказ</t>
    </r>
  </si>
  <si>
    <t xml:space="preserve"> +  15% до вартості м2 глянцевої поверхні</t>
  </si>
  <si>
    <t xml:space="preserve">Bromo </t>
  </si>
  <si>
    <t xml:space="preserve">Kira </t>
  </si>
  <si>
    <t xml:space="preserve">Laos </t>
  </si>
  <si>
    <t xml:space="preserve">Lunar </t>
  </si>
  <si>
    <t xml:space="preserve">Vera </t>
  </si>
  <si>
    <t xml:space="preserve">Korso </t>
  </si>
  <si>
    <t xml:space="preserve">Natura 18 </t>
  </si>
  <si>
    <t>Tundra 19</t>
  </si>
  <si>
    <t xml:space="preserve">Bergen </t>
  </si>
  <si>
    <t>Natura 18 bookmatch</t>
  </si>
  <si>
    <t xml:space="preserve">Taga </t>
  </si>
  <si>
    <t>матова</t>
  </si>
  <si>
    <t>Dekton Grip- анти слизьке рішення для вологих приміщень</t>
  </si>
  <si>
    <r>
      <t>Soke</t>
    </r>
    <r>
      <rPr>
        <sz val="10"/>
        <color indexed="12"/>
        <rFont val="Arial Cyr"/>
        <family val="0"/>
      </rPr>
      <t xml:space="preserve"> </t>
    </r>
  </si>
  <si>
    <r>
      <t>Olimpo</t>
    </r>
    <r>
      <rPr>
        <b/>
        <sz val="10"/>
        <color indexed="10"/>
        <rFont val="Arial Cyr"/>
        <family val="0"/>
      </rPr>
      <t xml:space="preserve"> </t>
    </r>
  </si>
  <si>
    <r>
      <t>Ціни вказані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з ПДВ</t>
    </r>
  </si>
  <si>
    <t>Bromo</t>
  </si>
  <si>
    <r>
      <t xml:space="preserve">Kovik </t>
    </r>
    <r>
      <rPr>
        <b/>
        <sz val="11"/>
        <color indexed="12"/>
        <rFont val="Calibri"/>
        <family val="2"/>
      </rPr>
      <t>new!</t>
    </r>
  </si>
  <si>
    <t>Kreta</t>
  </si>
  <si>
    <t>Laos</t>
  </si>
  <si>
    <t>Lunar</t>
  </si>
  <si>
    <t>Arga</t>
  </si>
  <si>
    <t>Aura 15 Bookmatch</t>
  </si>
  <si>
    <t>Bergen</t>
  </si>
  <si>
    <t>Natura 18 Bookmatch</t>
  </si>
  <si>
    <t>Dekton 4 mm Cut-To-Size</t>
  </si>
  <si>
    <t>Текстуры:</t>
  </si>
  <si>
    <t>Група 1</t>
  </si>
  <si>
    <t>Група 2</t>
  </si>
  <si>
    <t>Група 3</t>
  </si>
  <si>
    <t>Група 4</t>
  </si>
  <si>
    <t>Група 5</t>
  </si>
  <si>
    <t>Група 6</t>
  </si>
  <si>
    <t>в грн за кв. м с ПДВ</t>
  </si>
  <si>
    <t xml:space="preserve"> Білий стержень</t>
  </si>
  <si>
    <t xml:space="preserve">K023 SU </t>
  </si>
  <si>
    <t xml:space="preserve">8685 SU </t>
  </si>
  <si>
    <t xml:space="preserve">K217 GM </t>
  </si>
  <si>
    <t xml:space="preserve">7100 GM </t>
  </si>
  <si>
    <t xml:space="preserve"> Сірий стержень</t>
  </si>
  <si>
    <t xml:space="preserve">K028 SU  </t>
  </si>
  <si>
    <t xml:space="preserve">K367 PH </t>
  </si>
  <si>
    <t>K368 PH</t>
  </si>
  <si>
    <t xml:space="preserve">K302 PH </t>
  </si>
  <si>
    <t>K372 GM</t>
  </si>
  <si>
    <t>Чорний стержень</t>
  </si>
  <si>
    <t xml:space="preserve">0190 Anti-finger SM  </t>
  </si>
  <si>
    <t>0190 SL</t>
  </si>
  <si>
    <t xml:space="preserve">K205 SL </t>
  </si>
  <si>
    <t xml:space="preserve">7099 GM </t>
  </si>
  <si>
    <t xml:space="preserve">K108 SU  </t>
  </si>
  <si>
    <t>Коричневий стержень</t>
  </si>
  <si>
    <t>K292 PW</t>
  </si>
  <si>
    <t>K295 PW</t>
  </si>
  <si>
    <t>4100х1300х12mm</t>
  </si>
  <si>
    <t>4100х650х12mm</t>
  </si>
  <si>
    <t>Мін замовлення</t>
  </si>
  <si>
    <t>10 шт</t>
  </si>
  <si>
    <t>Alpine White*</t>
  </si>
  <si>
    <t xml:space="preserve">Формат </t>
  </si>
  <si>
    <t>3200х1440 мм</t>
  </si>
  <si>
    <t>Київ
відділ продажу та склад матеріалів для реклами</t>
  </si>
  <si>
    <t>вул. Полярна 20-В</t>
  </si>
  <si>
    <t>Київ
відділ продажу та склад матеріалів для будівництва, пакування, промисловості, декоративні оздоблювальні матеріали</t>
  </si>
  <si>
    <t>просп. Перемоги, 67</t>
  </si>
  <si>
    <t>Київ:
головний офіс</t>
  </si>
  <si>
    <t>вул. Героїв Дніпра, 2А</t>
  </si>
  <si>
    <t>вул. Максимовича, 12</t>
  </si>
  <si>
    <t>смт. Слобожанське, МКВ Золоті ключі
вул. Кримська, 25</t>
  </si>
  <si>
    <t>вул. Народицька, 7</t>
  </si>
  <si>
    <t>вул. Ребета, 3</t>
  </si>
  <si>
    <t>вул. Дніпропетровське шоссе, 20-в</t>
  </si>
  <si>
    <t>Львів: офіс</t>
  </si>
  <si>
    <t>Львів: склад</t>
  </si>
  <si>
    <t>вул. Городницька, 43</t>
  </si>
  <si>
    <t>Миколаїв: офіс</t>
  </si>
  <si>
    <t>Миколаїв: склад</t>
  </si>
  <si>
    <t>вул. Богородична, 32</t>
  </si>
  <si>
    <t>Харків: офіс</t>
  </si>
  <si>
    <t>Харків: склад</t>
  </si>
  <si>
    <t>вул. Костичева, 2А</t>
  </si>
  <si>
    <t>вул. Чкалова, 21-А</t>
  </si>
  <si>
    <t xml:space="preserve">вул. Бродівська, 45 </t>
  </si>
  <si>
    <t>Зугдиди</t>
  </si>
  <si>
    <t>995 (32) 224 20 40 (*4020)</t>
  </si>
  <si>
    <t>Баку</t>
  </si>
  <si>
    <t>просп. Ходжалі 37</t>
  </si>
  <si>
    <t>тел.: +994 12 310 34 36 (ext.1402)
моб.: +994 50 310 46 28</t>
  </si>
  <si>
    <t>вул.Мештрул Маноле, 12/2</t>
  </si>
  <si>
    <t>Азербайджан</t>
  </si>
  <si>
    <t>Одеса</t>
  </si>
  <si>
    <t>вул. Головківська, 57/1</t>
  </si>
  <si>
    <t>просп. Миру, 69, ТЦ "Ріко", четвертий повер</t>
  </si>
  <si>
    <t>вул. М.Костава 112</t>
  </si>
  <si>
    <t>Ціна на матеріали вказана в гривнях станом на 02.04.2020 р.</t>
  </si>
  <si>
    <t>Vegha**</t>
  </si>
  <si>
    <t>** - декор знято з виробництва, уточнюйте можливість замовлення</t>
  </si>
  <si>
    <t>Amazon**</t>
  </si>
  <si>
    <t>Haiku**</t>
  </si>
  <si>
    <t>Etrenal Noir</t>
  </si>
  <si>
    <t>Aeris</t>
  </si>
  <si>
    <t>Eter</t>
  </si>
  <si>
    <t xml:space="preserve">Millar </t>
  </si>
  <si>
    <r>
      <t>Sasea</t>
    </r>
    <r>
      <rPr>
        <b/>
        <sz val="10"/>
        <color indexed="10"/>
        <rFont val="Arial Cyr"/>
        <family val="0"/>
      </rPr>
      <t xml:space="preserve"> </t>
    </r>
  </si>
  <si>
    <t>Sirius*</t>
  </si>
  <si>
    <t>Strato**</t>
  </si>
  <si>
    <t>Domoos*</t>
  </si>
  <si>
    <t>Kelya*</t>
  </si>
  <si>
    <t>Kovik</t>
  </si>
  <si>
    <t xml:space="preserve">Kreta </t>
  </si>
  <si>
    <t>Makai**</t>
  </si>
  <si>
    <t xml:space="preserve">Portum </t>
  </si>
  <si>
    <t>Aura 15*</t>
  </si>
  <si>
    <r>
      <t>Baltic</t>
    </r>
    <r>
      <rPr>
        <b/>
        <sz val="10"/>
        <color indexed="10"/>
        <rFont val="Arial Cyr"/>
        <family val="0"/>
      </rPr>
      <t xml:space="preserve"> new</t>
    </r>
  </si>
  <si>
    <t>Entzo*</t>
  </si>
  <si>
    <r>
      <t xml:space="preserve">Feroe </t>
    </r>
    <r>
      <rPr>
        <b/>
        <sz val="10"/>
        <color indexed="10"/>
        <rFont val="Arial Cyr"/>
        <family val="0"/>
      </rPr>
      <t>new</t>
    </r>
  </si>
  <si>
    <r>
      <t xml:space="preserve">Laurent </t>
    </r>
    <r>
      <rPr>
        <b/>
        <sz val="10"/>
        <color indexed="10"/>
        <rFont val="Arial Cyr"/>
        <family val="0"/>
      </rPr>
      <t>new</t>
    </r>
  </si>
  <si>
    <r>
      <t xml:space="preserve">Liquid Embers </t>
    </r>
    <r>
      <rPr>
        <b/>
        <sz val="10"/>
        <color indexed="10"/>
        <rFont val="Arial Cyr"/>
        <family val="0"/>
      </rPr>
      <t>new</t>
    </r>
  </si>
  <si>
    <r>
      <t xml:space="preserve">Liquid Shell </t>
    </r>
    <r>
      <rPr>
        <b/>
        <sz val="10"/>
        <color indexed="10"/>
        <rFont val="Arial Cyr"/>
        <family val="0"/>
      </rPr>
      <t>new</t>
    </r>
  </si>
  <si>
    <r>
      <t>Liquid Sky</t>
    </r>
    <r>
      <rPr>
        <b/>
        <sz val="10"/>
        <color indexed="10"/>
        <rFont val="Arial Cyr"/>
        <family val="0"/>
      </rPr>
      <t xml:space="preserve"> new</t>
    </r>
  </si>
  <si>
    <r>
      <t xml:space="preserve">Rem </t>
    </r>
    <r>
      <rPr>
        <b/>
        <sz val="10"/>
        <color indexed="10"/>
        <rFont val="Arial Cyr"/>
        <family val="0"/>
      </rPr>
      <t>new</t>
    </r>
  </si>
  <si>
    <r>
      <t>Sogne</t>
    </r>
  </si>
  <si>
    <t>Uyuni</t>
  </si>
  <si>
    <t>Zenith*</t>
  </si>
  <si>
    <r>
      <t>Helena</t>
    </r>
    <r>
      <rPr>
        <b/>
        <sz val="10"/>
        <color indexed="10"/>
        <rFont val="Arial Cyr"/>
        <family val="0"/>
      </rPr>
      <t xml:space="preserve"> new</t>
    </r>
  </si>
  <si>
    <r>
      <t xml:space="preserve">Khalo </t>
    </r>
    <r>
      <rPr>
        <b/>
        <sz val="10"/>
        <color indexed="10"/>
        <rFont val="Arial Cyr"/>
        <family val="0"/>
      </rPr>
      <t>new</t>
    </r>
  </si>
  <si>
    <r>
      <t xml:space="preserve">** </t>
    </r>
    <r>
      <rPr>
        <sz val="10"/>
        <rFont val="Arial Cyr"/>
        <family val="0"/>
      </rPr>
      <t>- декор знято з виробництва, є в наявності на складі.</t>
    </r>
  </si>
  <si>
    <r>
      <t xml:space="preserve">Blanco City                           </t>
    </r>
    <r>
      <rPr>
        <b/>
        <sz val="10"/>
        <color indexed="10"/>
        <rFont val="Arial Cyr"/>
        <family val="0"/>
      </rPr>
      <t>!</t>
    </r>
  </si>
  <si>
    <t xml:space="preserve">Noka </t>
  </si>
  <si>
    <r>
      <t xml:space="preserve">Rougui   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</si>
  <si>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>Camden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 xml:space="preserve">new  </t>
    </r>
    <r>
      <rPr>
        <b/>
        <sz val="10"/>
        <color indexed="10"/>
        <rFont val="Arial Cyr"/>
        <family val="0"/>
      </rPr>
      <t xml:space="preserve">                 заказ</t>
    </r>
  </si>
  <si>
    <r>
      <t xml:space="preserve">Cemento Spa                         </t>
    </r>
    <r>
      <rPr>
        <b/>
        <sz val="10"/>
        <color indexed="10"/>
        <rFont val="Arial Cyr"/>
        <family val="0"/>
      </rPr>
      <t>!</t>
    </r>
  </si>
  <si>
    <r>
      <t xml:space="preserve">Coral Clay                             </t>
    </r>
    <r>
      <rPr>
        <b/>
        <sz val="10"/>
        <color indexed="10"/>
        <rFont val="Arial Cyr"/>
        <family val="0"/>
      </rPr>
      <t>!</t>
    </r>
  </si>
  <si>
    <r>
      <t xml:space="preserve">Aluminio Nube                </t>
    </r>
    <r>
      <rPr>
        <b/>
        <sz val="10"/>
        <color indexed="10"/>
        <rFont val="Arial Cyr"/>
        <family val="0"/>
      </rPr>
      <t>заказ</t>
    </r>
  </si>
  <si>
    <r>
      <t xml:space="preserve">Classic White      </t>
    </r>
    <r>
      <rPr>
        <b/>
        <sz val="10"/>
        <color indexed="10"/>
        <rFont val="Arial Cyr"/>
        <family val="0"/>
      </rPr>
      <t xml:space="preserve">          заказ</t>
    </r>
  </si>
  <si>
    <r>
      <t>Desert Silver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    </t>
    </r>
  </si>
  <si>
    <r>
      <t xml:space="preserve">Kimbler Mist  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</si>
  <si>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Miami Vena </t>
    </r>
    <r>
      <rPr>
        <b/>
        <sz val="10"/>
        <color indexed="30"/>
        <rFont val="Arial Cyr"/>
        <family val="0"/>
      </rPr>
      <t xml:space="preserve">new </t>
    </r>
    <r>
      <rPr>
        <b/>
        <sz val="10"/>
        <color indexed="10"/>
        <rFont val="Arial Cyr"/>
        <family val="0"/>
      </rPr>
      <t xml:space="preserve">           заказ</t>
    </r>
  </si>
  <si>
    <r>
      <t>Mountain Mist 12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</si>
  <si>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Silken Pearl        </t>
    </r>
    <r>
      <rPr>
        <b/>
        <sz val="10"/>
        <color indexed="10"/>
        <rFont val="Arial Cyr"/>
        <family val="0"/>
      </rPr>
      <t xml:space="preserve">           заказ</t>
    </r>
  </si>
  <si>
    <r>
      <t xml:space="preserve">Yukon 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</si>
  <si>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Corktown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заказ</t>
    </r>
  </si>
  <si>
    <r>
      <t xml:space="preserve">Helix                              </t>
    </r>
    <r>
      <rPr>
        <b/>
        <sz val="10"/>
        <color indexed="10"/>
        <rFont val="Arial Cyr"/>
        <family val="0"/>
      </rPr>
      <t>заказ</t>
    </r>
  </si>
  <si>
    <r>
      <t xml:space="preserve">Kensho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</si>
  <si>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Lagoon                                 </t>
    </r>
    <r>
      <rPr>
        <b/>
        <sz val="10"/>
        <color indexed="10"/>
        <rFont val="Arial Cyr"/>
        <family val="0"/>
      </rPr>
      <t xml:space="preserve"> !</t>
    </r>
  </si>
  <si>
    <r>
      <t xml:space="preserve">Lyra                                     </t>
    </r>
    <r>
      <rPr>
        <b/>
        <sz val="10"/>
        <color indexed="10"/>
        <rFont val="Arial Cyr"/>
        <family val="0"/>
      </rPr>
      <t xml:space="preserve"> !</t>
    </r>
    <r>
      <rPr>
        <sz val="10"/>
        <rFont val="Arial Cyr"/>
        <family val="2"/>
      </rPr>
      <t xml:space="preserve">                   </t>
    </r>
  </si>
  <si>
    <r>
      <t xml:space="preserve">Merope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</si>
  <si>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>Nolita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   заказ</t>
    </r>
  </si>
  <si>
    <t xml:space="preserve">Pearl Jasmine        </t>
  </si>
  <si>
    <r>
      <t xml:space="preserve">Poblenou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заказ</t>
    </r>
  </si>
  <si>
    <r>
      <t xml:space="preserve">Seaport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заказ</t>
    </r>
  </si>
  <si>
    <r>
      <t>Classic Calacatta</t>
    </r>
    <r>
      <rPr>
        <sz val="10"/>
        <color indexed="12"/>
        <rFont val="Arial Cyr"/>
        <family val="0"/>
      </rPr>
      <t xml:space="preserve">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</si>
  <si>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Eternal Bella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заказ</t>
    </r>
  </si>
  <si>
    <r>
      <t xml:space="preserve">Eternal D'or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</si>
  <si>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Eternal Emperador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</si>
  <si>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Eternal Marfil       </t>
    </r>
    <r>
      <rPr>
        <b/>
        <sz val="10"/>
        <color indexed="10"/>
        <rFont val="Arial Cyr"/>
        <family val="0"/>
      </rPr>
      <t xml:space="preserve">       </t>
    </r>
  </si>
  <si>
    <r>
      <t xml:space="preserve">Bianco Calacatta       </t>
    </r>
    <r>
      <rPr>
        <b/>
        <sz val="10"/>
        <color indexed="10"/>
        <rFont val="Arial Cyr"/>
        <family val="0"/>
      </rPr>
      <t xml:space="preserve">     заказ</t>
    </r>
  </si>
  <si>
    <r>
      <t xml:space="preserve">Eternal Noir                  </t>
    </r>
    <r>
      <rPr>
        <b/>
        <sz val="10"/>
        <color indexed="10"/>
        <rFont val="Arial Cyr"/>
        <family val="0"/>
      </rPr>
      <t xml:space="preserve">         !</t>
    </r>
  </si>
  <si>
    <r>
      <t xml:space="preserve">Polaris </t>
    </r>
    <r>
      <rPr>
        <b/>
        <sz val="10"/>
        <color indexed="30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        заказ</t>
    </r>
  </si>
  <si>
    <t>нанопокриття</t>
  </si>
  <si>
    <t>Aluminio nube</t>
  </si>
  <si>
    <t xml:space="preserve">Blanco Maple </t>
  </si>
  <si>
    <t xml:space="preserve">Unsui </t>
  </si>
  <si>
    <r>
      <t xml:space="preserve">Miami White 17      </t>
    </r>
    <r>
      <rPr>
        <b/>
        <sz val="10"/>
        <color indexed="30"/>
        <rFont val="Arial Cyr"/>
        <family val="0"/>
      </rPr>
      <t>new</t>
    </r>
  </si>
  <si>
    <r>
      <t xml:space="preserve">Silken Pearl          </t>
    </r>
    <r>
      <rPr>
        <b/>
        <sz val="10"/>
        <color indexed="30"/>
        <rFont val="Arial Cyr"/>
        <family val="0"/>
      </rPr>
      <t xml:space="preserve"> new</t>
    </r>
  </si>
  <si>
    <r>
      <t xml:space="preserve">Eternal Marquina   </t>
    </r>
    <r>
      <rPr>
        <b/>
        <sz val="10"/>
        <color indexed="30"/>
        <rFont val="Arial Cyr"/>
        <family val="0"/>
      </rPr>
      <t xml:space="preserve"> new</t>
    </r>
  </si>
  <si>
    <t>Всі мийки виробляються в структурах Polished (глянець) і Suede (мат), окрім мийок, позначених         - (лише глянець)</t>
  </si>
  <si>
    <t>Мінімальне замовлення - палета.</t>
  </si>
  <si>
    <t>Формат: 3050х1300</t>
  </si>
  <si>
    <t>0110 BS</t>
  </si>
  <si>
    <t>0106 BS</t>
  </si>
  <si>
    <t>0197 BS</t>
  </si>
  <si>
    <t>0244 BS</t>
  </si>
  <si>
    <t>0245 BS</t>
  </si>
  <si>
    <t>0301 BS</t>
  </si>
  <si>
    <t>0514 BS</t>
  </si>
  <si>
    <t>0522 BS</t>
  </si>
  <si>
    <t>0540 BS</t>
  </si>
  <si>
    <t>0564 BS</t>
  </si>
  <si>
    <t>0859 BS</t>
  </si>
  <si>
    <t>0881 BS</t>
  </si>
  <si>
    <t>1700 BS</t>
  </si>
  <si>
    <t>8100 BS</t>
  </si>
  <si>
    <t>A103 BS</t>
  </si>
  <si>
    <t>K096 BS</t>
  </si>
  <si>
    <t>K097 BS</t>
  </si>
  <si>
    <t>K098 BS</t>
  </si>
  <si>
    <t>K099 BS</t>
  </si>
  <si>
    <t>K100 BS</t>
  </si>
  <si>
    <t>7045 BS</t>
  </si>
  <si>
    <t>7063 BS</t>
  </si>
  <si>
    <t>8348 BS</t>
  </si>
  <si>
    <t>Для замовлення меньше 1 палети (від 1 плити), додається наступна вартість:</t>
  </si>
  <si>
    <t>Доплата 5 євро/м2.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</si>
</sst>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#,##0.0"/>
    <numFmt numFmtId="182" formatCode="0.0"/>
    <numFmt numFmtId="183" formatCode="[$€-2]\ #,##0.00"/>
  </numFmts>
  <fonts count="12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59"/>
      <name val="Arial Cyr"/>
      <family val="2"/>
    </font>
    <font>
      <b/>
      <sz val="11"/>
      <color indexed="63"/>
      <name val="Arial Cyr"/>
      <family val="2"/>
    </font>
    <font>
      <sz val="10"/>
      <color indexed="63"/>
      <name val="Arial Cyr"/>
      <family val="2"/>
    </font>
    <font>
      <b/>
      <sz val="12"/>
      <color indexed="18"/>
      <name val="Arial Cyr"/>
      <family val="2"/>
    </font>
    <font>
      <sz val="9"/>
      <color indexed="18"/>
      <name val="Arial Cyr"/>
      <family val="2"/>
    </font>
    <font>
      <sz val="11"/>
      <color indexed="63"/>
      <name val="Arial Cyr"/>
      <family val="2"/>
    </font>
    <font>
      <sz val="8"/>
      <color indexed="18"/>
      <name val="Arial Cyr"/>
      <family val="2"/>
    </font>
    <font>
      <b/>
      <sz val="8"/>
      <color indexed="18"/>
      <name val="Arial Cyr"/>
      <family val="2"/>
    </font>
    <font>
      <b/>
      <sz val="10"/>
      <color indexed="63"/>
      <name val="Arial Cyr"/>
      <family val="2"/>
    </font>
    <font>
      <sz val="14"/>
      <color indexed="18"/>
      <name val="Arial Cyr"/>
      <family val="2"/>
    </font>
    <font>
      <sz val="22"/>
      <color indexed="18"/>
      <name val="Arial Cyr"/>
      <family val="2"/>
    </font>
    <font>
      <sz val="18"/>
      <color indexed="18"/>
      <name val="Arial Cyr"/>
      <family val="2"/>
    </font>
    <font>
      <sz val="18"/>
      <name val="Arial Cyr"/>
      <family val="2"/>
    </font>
    <font>
      <sz val="10"/>
      <color indexed="8"/>
      <name val="Arial Cyr"/>
      <family val="2"/>
    </font>
    <font>
      <b/>
      <sz val="10"/>
      <color indexed="59"/>
      <name val="Arial Cyr"/>
      <family val="2"/>
    </font>
    <font>
      <sz val="14"/>
      <color indexed="18"/>
      <name val="Arial"/>
      <family val="2"/>
    </font>
    <font>
      <b/>
      <sz val="18"/>
      <color indexed="18"/>
      <name val="Arial Cyr"/>
      <family val="2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i/>
      <sz val="10"/>
      <color indexed="18"/>
      <name val="Arial Cyr"/>
      <family val="0"/>
    </font>
    <font>
      <b/>
      <sz val="12"/>
      <name val="Arial Cyr"/>
      <family val="0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u val="single"/>
      <sz val="10"/>
      <color indexed="18"/>
      <name val="Arial Cyr"/>
      <family val="2"/>
    </font>
    <font>
      <sz val="11"/>
      <name val="Arial Cyr"/>
      <family val="2"/>
    </font>
    <font>
      <sz val="9"/>
      <color indexed="63"/>
      <name val="Arial Cyr"/>
      <family val="2"/>
    </font>
    <font>
      <b/>
      <sz val="9"/>
      <color indexed="18"/>
      <name val="Arial Cyr"/>
      <family val="0"/>
    </font>
    <font>
      <sz val="10"/>
      <color indexed="12"/>
      <name val="Arial Cyr"/>
      <family val="2"/>
    </font>
    <font>
      <sz val="8"/>
      <color indexed="18"/>
      <name val="Times New Roman"/>
      <family val="1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1"/>
      <color indexed="59"/>
      <name val="Arial"/>
      <family val="2"/>
    </font>
    <font>
      <b/>
      <sz val="10"/>
      <color indexed="12"/>
      <name val="Arial Cyr"/>
      <family val="0"/>
    </font>
    <font>
      <b/>
      <sz val="11"/>
      <name val="Arial Cyr"/>
      <family val="0"/>
    </font>
    <font>
      <b/>
      <sz val="10"/>
      <color indexed="9"/>
      <name val="Arial Cyr"/>
      <family val="2"/>
    </font>
    <font>
      <b/>
      <sz val="8"/>
      <color indexed="10"/>
      <name val="Arial Cyr"/>
      <family val="0"/>
    </font>
    <font>
      <u val="single"/>
      <sz val="10"/>
      <name val="Arial Cyr"/>
      <family val="2"/>
    </font>
    <font>
      <u val="single"/>
      <sz val="10"/>
      <color indexed="36"/>
      <name val="Arial Cyr"/>
      <family val="2"/>
    </font>
    <font>
      <b/>
      <sz val="16"/>
      <color indexed="10"/>
      <name val="Arial"/>
      <family val="2"/>
    </font>
    <font>
      <b/>
      <sz val="16"/>
      <color indexed="10"/>
      <name val="Arial CYR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 Cyr"/>
      <family val="0"/>
    </font>
    <font>
      <sz val="9"/>
      <color indexed="59"/>
      <name val="Arial Cyr"/>
      <family val="2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0" fillId="0" borderId="0">
      <alignment/>
      <protection/>
    </xf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58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9" fillId="0" borderId="0" xfId="58" applyFont="1" applyBorder="1">
      <alignment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20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8" applyFont="1">
      <alignment/>
      <protection/>
    </xf>
    <xf numFmtId="0" fontId="24" fillId="0" borderId="0" xfId="58" applyFont="1">
      <alignment/>
      <protection/>
    </xf>
    <xf numFmtId="0" fontId="9" fillId="0" borderId="0" xfId="58" applyFont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4" fillId="0" borderId="0" xfId="43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9" fontId="2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21" fillId="0" borderId="0" xfId="58" applyFont="1" applyBorder="1" applyAlignment="1">
      <alignment horizontal="left" vertical="center" wrapText="1"/>
      <protection/>
    </xf>
    <xf numFmtId="0" fontId="12" fillId="34" borderId="11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8" fillId="34" borderId="11" xfId="0" applyFont="1" applyFill="1" applyBorder="1" applyAlignment="1">
      <alignment horizontal="center" vertical="center" wrapText="1"/>
    </xf>
    <xf numFmtId="0" fontId="4" fillId="0" borderId="10" xfId="43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/>
      <protection/>
    </xf>
    <xf numFmtId="0" fontId="4" fillId="0" borderId="0" xfId="43" applyAlignment="1">
      <alignment/>
    </xf>
    <xf numFmtId="0" fontId="0" fillId="0" borderId="0" xfId="0" applyBorder="1" applyAlignment="1">
      <alignment horizontal="left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58" applyBorder="1">
      <alignment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left" vertical="center" wrapText="1"/>
      <protection/>
    </xf>
    <xf numFmtId="0" fontId="4" fillId="0" borderId="0" xfId="43" applyBorder="1" applyAlignment="1">
      <alignment/>
    </xf>
    <xf numFmtId="2" fontId="40" fillId="0" borderId="11" xfId="58" applyNumberFormat="1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4" fontId="24" fillId="0" borderId="0" xfId="58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0" fontId="49" fillId="0" borderId="0" xfId="43" applyFont="1" applyAlignment="1">
      <alignment horizontal="center"/>
    </xf>
    <xf numFmtId="0" fontId="16" fillId="0" borderId="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left" vertical="center" wrapText="1"/>
      <protection/>
    </xf>
    <xf numFmtId="4" fontId="16" fillId="0" borderId="0" xfId="0" applyNumberFormat="1" applyFont="1" applyBorder="1" applyAlignment="1">
      <alignment horizontal="center" vertical="center" wrapText="1"/>
    </xf>
    <xf numFmtId="0" fontId="2" fillId="0" borderId="0" xfId="58" applyFont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0" fillId="0" borderId="0" xfId="58" applyFont="1" applyFill="1" applyBorder="1" applyAlignment="1">
      <alignment horizontal="righ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2" fontId="25" fillId="0" borderId="11" xfId="58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/>
    </xf>
    <xf numFmtId="14" fontId="56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1" fillId="0" borderId="0" xfId="43" applyNumberFormat="1" applyFont="1" applyFill="1" applyBorder="1" applyAlignment="1" applyProtection="1">
      <alignment wrapText="1"/>
      <protection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 vertical="center" wrapText="1"/>
      <protection/>
    </xf>
    <xf numFmtId="0" fontId="36" fillId="0" borderId="0" xfId="59" applyFont="1" applyAlignment="1">
      <alignment horizontal="center"/>
      <protection/>
    </xf>
    <xf numFmtId="14" fontId="11" fillId="0" borderId="0" xfId="59" applyNumberFormat="1" applyFont="1" applyAlignment="1">
      <alignment horizontal="center"/>
      <protection/>
    </xf>
    <xf numFmtId="14" fontId="11" fillId="0" borderId="0" xfId="59" applyNumberFormat="1" applyFont="1" applyFill="1" applyAlignment="1">
      <alignment horizontal="center"/>
      <protection/>
    </xf>
    <xf numFmtId="0" fontId="36" fillId="0" borderId="0" xfId="59" applyFont="1" applyFill="1" applyAlignment="1">
      <alignment horizontal="center"/>
      <protection/>
    </xf>
    <xf numFmtId="0" fontId="4" fillId="0" borderId="0" xfId="43" applyFill="1" applyAlignment="1">
      <alignment/>
    </xf>
    <xf numFmtId="0" fontId="11" fillId="0" borderId="0" xfId="59" applyFont="1" applyFill="1">
      <alignment/>
      <protection/>
    </xf>
    <xf numFmtId="0" fontId="11" fillId="0" borderId="0" xfId="59" applyFont="1" applyFill="1" applyAlignment="1">
      <alignment horizontal="center"/>
      <protection/>
    </xf>
    <xf numFmtId="0" fontId="11" fillId="0" borderId="0" xfId="59" applyFont="1" applyFill="1" applyAlignment="1">
      <alignment horizontal="center" vertical="center" wrapText="1"/>
      <protection/>
    </xf>
    <xf numFmtId="0" fontId="11" fillId="0" borderId="0" xfId="59" applyFont="1" applyFill="1" applyBorder="1">
      <alignment/>
      <protection/>
    </xf>
    <xf numFmtId="0" fontId="34" fillId="0" borderId="0" xfId="59" applyFont="1" applyFill="1" applyBorder="1" applyAlignment="1">
      <alignment horizontal="center" vertical="center" wrapText="1"/>
      <protection/>
    </xf>
    <xf numFmtId="4" fontId="25" fillId="0" borderId="0" xfId="59" applyNumberFormat="1" applyFont="1" applyFill="1" applyBorder="1" applyAlignment="1">
      <alignment horizontal="center" vertical="center" wrapText="1"/>
      <protection/>
    </xf>
    <xf numFmtId="4" fontId="25" fillId="0" borderId="0" xfId="59" applyNumberFormat="1" applyFont="1" applyBorder="1" applyAlignment="1">
      <alignment horizontal="center" vertical="center" wrapText="1"/>
      <protection/>
    </xf>
    <xf numFmtId="0" fontId="11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0" xfId="59" applyFont="1" applyAlignment="1">
      <alignment horizontal="center"/>
      <protection/>
    </xf>
    <xf numFmtId="0" fontId="0" fillId="0" borderId="0" xfId="59">
      <alignment/>
      <protection/>
    </xf>
    <xf numFmtId="0" fontId="0" fillId="0" borderId="0" xfId="59" applyAlignment="1">
      <alignment horizontal="center" vertical="center" wrapText="1"/>
      <protection/>
    </xf>
    <xf numFmtId="0" fontId="4" fillId="0" borderId="0" xfId="43" applyNumberFormat="1" applyFont="1" applyFill="1" applyBorder="1" applyAlignment="1" applyProtection="1">
      <alignment horizontal="right" wrapText="1"/>
      <protection/>
    </xf>
    <xf numFmtId="0" fontId="40" fillId="0" borderId="12" xfId="58" applyFont="1" applyFill="1" applyBorder="1" applyAlignment="1">
      <alignment horizontal="left" vertical="center" wrapText="1"/>
      <protection/>
    </xf>
    <xf numFmtId="0" fontId="40" fillId="0" borderId="13" xfId="58" applyFont="1" applyFill="1" applyBorder="1" applyAlignment="1">
      <alignment horizontal="left" vertical="center" wrapText="1"/>
      <protection/>
    </xf>
    <xf numFmtId="0" fontId="40" fillId="0" borderId="14" xfId="58" applyFont="1" applyFill="1" applyBorder="1" applyAlignment="1">
      <alignment horizontal="center" vertical="center" wrapText="1"/>
      <protection/>
    </xf>
    <xf numFmtId="3" fontId="40" fillId="0" borderId="12" xfId="58" applyNumberFormat="1" applyFont="1" applyFill="1" applyBorder="1" applyAlignment="1">
      <alignment horizontal="center" vertical="center" wrapText="1"/>
      <protection/>
    </xf>
    <xf numFmtId="3" fontId="40" fillId="0" borderId="11" xfId="58" applyNumberFormat="1" applyFont="1" applyFill="1" applyBorder="1" applyAlignment="1">
      <alignment horizontal="center" vertical="center" wrapText="1"/>
      <protection/>
    </xf>
    <xf numFmtId="3" fontId="40" fillId="0" borderId="13" xfId="58" applyNumberFormat="1" applyFont="1" applyFill="1" applyBorder="1" applyAlignment="1">
      <alignment horizontal="center" vertical="center" wrapText="1"/>
      <protection/>
    </xf>
    <xf numFmtId="4" fontId="40" fillId="0" borderId="12" xfId="58" applyNumberFormat="1" applyFont="1" applyFill="1" applyBorder="1" applyAlignment="1">
      <alignment horizontal="center" vertical="center" wrapText="1"/>
      <protection/>
    </xf>
    <xf numFmtId="4" fontId="40" fillId="0" borderId="11" xfId="58" applyNumberFormat="1" applyFont="1" applyFill="1" applyBorder="1" applyAlignment="1">
      <alignment horizontal="center" vertical="center" wrapText="1"/>
      <protection/>
    </xf>
    <xf numFmtId="0" fontId="40" fillId="0" borderId="15" xfId="58" applyFont="1" applyFill="1" applyBorder="1" applyAlignment="1">
      <alignment horizontal="left" vertical="center" wrapText="1"/>
      <protection/>
    </xf>
    <xf numFmtId="0" fontId="40" fillId="0" borderId="16" xfId="58" applyFont="1" applyFill="1" applyBorder="1" applyAlignment="1">
      <alignment horizontal="left" vertical="center" wrapText="1"/>
      <protection/>
    </xf>
    <xf numFmtId="0" fontId="40" fillId="0" borderId="17" xfId="58" applyFont="1" applyFill="1" applyBorder="1" applyAlignment="1">
      <alignment horizontal="center" vertical="center" wrapText="1"/>
      <protection/>
    </xf>
    <xf numFmtId="3" fontId="40" fillId="0" borderId="15" xfId="58" applyNumberFormat="1" applyFont="1" applyFill="1" applyBorder="1" applyAlignment="1">
      <alignment horizontal="center" vertical="center" wrapText="1"/>
      <protection/>
    </xf>
    <xf numFmtId="3" fontId="40" fillId="0" borderId="18" xfId="58" applyNumberFormat="1" applyFont="1" applyFill="1" applyBorder="1" applyAlignment="1">
      <alignment horizontal="center" vertical="center" wrapText="1"/>
      <protection/>
    </xf>
    <xf numFmtId="3" fontId="40" fillId="0" borderId="16" xfId="58" applyNumberFormat="1" applyFont="1" applyFill="1" applyBorder="1" applyAlignment="1">
      <alignment horizontal="center" vertical="center" wrapText="1"/>
      <protection/>
    </xf>
    <xf numFmtId="0" fontId="17" fillId="0" borderId="0" xfId="58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6" fillId="0" borderId="11" xfId="58" applyFont="1" applyBorder="1" applyAlignment="1">
      <alignment vertical="center" wrapText="1"/>
      <protection/>
    </xf>
    <xf numFmtId="3" fontId="6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33" borderId="11" xfId="33" applyFont="1" applyFill="1" applyBorder="1">
      <alignment/>
      <protection/>
    </xf>
    <xf numFmtId="0" fontId="0" fillId="33" borderId="0" xfId="33" applyFill="1">
      <alignment/>
      <protection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36" fillId="0" borderId="0" xfId="59" applyFont="1" applyAlignment="1">
      <alignment wrapText="1"/>
      <protection/>
    </xf>
    <xf numFmtId="0" fontId="62" fillId="0" borderId="0" xfId="0" applyFont="1" applyAlignment="1">
      <alignment/>
    </xf>
    <xf numFmtId="0" fontId="2" fillId="33" borderId="11" xfId="33" applyFont="1" applyFill="1" applyBorder="1" applyAlignment="1">
      <alignment vertical="top" wrapText="1"/>
      <protection/>
    </xf>
    <xf numFmtId="0" fontId="0" fillId="35" borderId="11" xfId="33" applyFont="1" applyFill="1" applyBorder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33" borderId="11" xfId="33" applyFont="1" applyFill="1" applyBorder="1" applyAlignment="1">
      <alignment horizontal="left" vertical="top" wrapText="1"/>
      <protection/>
    </xf>
    <xf numFmtId="0" fontId="72" fillId="36" borderId="11" xfId="33" applyFont="1" applyFill="1" applyBorder="1" applyAlignment="1">
      <alignment horizontal="center" vertical="center"/>
      <protection/>
    </xf>
    <xf numFmtId="0" fontId="2" fillId="33" borderId="11" xfId="33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vertical="top"/>
    </xf>
    <xf numFmtId="0" fontId="2" fillId="0" borderId="11" xfId="33" applyFont="1" applyFill="1" applyBorder="1" applyAlignment="1">
      <alignment horizontal="left" vertical="top" wrapText="1"/>
      <protection/>
    </xf>
    <xf numFmtId="0" fontId="0" fillId="35" borderId="11" xfId="33" applyFont="1" applyFill="1" applyBorder="1" applyAlignment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11" xfId="33" applyFont="1" applyFill="1" applyBorder="1" applyAlignment="1">
      <alignment horizontal="center"/>
      <protection/>
    </xf>
    <xf numFmtId="0" fontId="0" fillId="33" borderId="0" xfId="33" applyFill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7" fillId="0" borderId="11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18" fillId="0" borderId="0" xfId="59" applyNumberFormat="1" applyFont="1" applyBorder="1" applyAlignment="1">
      <alignment horizontal="center" vertical="center" wrapText="1"/>
      <protection/>
    </xf>
    <xf numFmtId="49" fontId="31" fillId="37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0" fontId="18" fillId="0" borderId="0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vertical="center" wrapText="1"/>
      <protection/>
    </xf>
    <xf numFmtId="0" fontId="7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2" fillId="0" borderId="0" xfId="58" applyFont="1" applyBorder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29" fillId="0" borderId="0" xfId="0" applyFont="1" applyBorder="1" applyAlignment="1">
      <alignment vertical="center" wrapText="1"/>
    </xf>
    <xf numFmtId="0" fontId="25" fillId="39" borderId="22" xfId="0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center" vertical="center" wrapText="1"/>
    </xf>
    <xf numFmtId="0" fontId="25" fillId="39" borderId="24" xfId="0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left" vertical="center" wrapText="1"/>
    </xf>
    <xf numFmtId="0" fontId="33" fillId="39" borderId="25" xfId="0" applyFont="1" applyFill="1" applyBorder="1" applyAlignment="1">
      <alignment horizontal="left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33" fillId="39" borderId="27" xfId="0" applyFont="1" applyFill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1" fontId="0" fillId="0" borderId="27" xfId="60" applyNumberFormat="1" applyBorder="1" applyAlignment="1">
      <alignment horizontal="center"/>
      <protection/>
    </xf>
    <xf numFmtId="1" fontId="0" fillId="0" borderId="10" xfId="60" applyNumberFormat="1" applyBorder="1" applyAlignment="1">
      <alignment horizontal="center"/>
      <protection/>
    </xf>
    <xf numFmtId="1" fontId="0" fillId="0" borderId="25" xfId="60" applyNumberFormat="1" applyBorder="1" applyAlignment="1">
      <alignment horizontal="center"/>
      <protection/>
    </xf>
    <xf numFmtId="0" fontId="33" fillId="0" borderId="29" xfId="0" applyFont="1" applyBorder="1" applyAlignment="1">
      <alignment horizontal="left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" fontId="0" fillId="0" borderId="31" xfId="60" applyNumberFormat="1" applyBorder="1" applyAlignment="1">
      <alignment horizontal="center"/>
      <protection/>
    </xf>
    <xf numFmtId="1" fontId="0" fillId="0" borderId="30" xfId="60" applyNumberFormat="1" applyBorder="1" applyAlignment="1">
      <alignment horizontal="center"/>
      <protection/>
    </xf>
    <xf numFmtId="1" fontId="0" fillId="0" borderId="32" xfId="60" applyNumberFormat="1" applyBorder="1" applyAlignment="1">
      <alignment horizontal="center"/>
      <protection/>
    </xf>
    <xf numFmtId="0" fontId="31" fillId="39" borderId="10" xfId="0" applyFont="1" applyFill="1" applyBorder="1" applyAlignment="1">
      <alignment horizontal="center" vertical="center" wrapText="1"/>
    </xf>
    <xf numFmtId="4" fontId="31" fillId="39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" fillId="0" borderId="0" xfId="43" applyNumberFormat="1" applyFill="1" applyBorder="1" applyAlignment="1" applyProtection="1">
      <alignment horizontal="center" vertical="center" wrapText="1"/>
      <protection/>
    </xf>
    <xf numFmtId="0" fontId="47" fillId="0" borderId="10" xfId="43" applyNumberFormat="1" applyFont="1" applyFill="1" applyBorder="1" applyAlignment="1" applyProtection="1">
      <alignment horizontal="center" vertical="center" wrapText="1"/>
      <protection/>
    </xf>
    <xf numFmtId="0" fontId="47" fillId="0" borderId="33" xfId="43" applyNumberFormat="1" applyFont="1" applyFill="1" applyBorder="1" applyAlignment="1" applyProtection="1">
      <alignment horizontal="center" vertical="center" wrapText="1"/>
      <protection/>
    </xf>
    <xf numFmtId="0" fontId="4" fillId="0" borderId="34" xfId="43" applyNumberFormat="1" applyFont="1" applyFill="1" applyBorder="1" applyAlignment="1" applyProtection="1">
      <alignment vertical="center" wrapText="1"/>
      <protection/>
    </xf>
    <xf numFmtId="0" fontId="18" fillId="0" borderId="3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5" fillId="0" borderId="3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Border="1" applyAlignment="1" applyProtection="1">
      <alignment horizontal="left" vertical="center" wrapText="1"/>
      <protection/>
    </xf>
    <xf numFmtId="0" fontId="65" fillId="0" borderId="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4" fillId="0" borderId="0" xfId="43" applyNumberFormat="1" applyFont="1" applyFill="1" applyBorder="1" applyAlignment="1" applyProtection="1">
      <alignment horizontal="left" vertical="center" wrapText="1"/>
      <protection/>
    </xf>
    <xf numFmtId="0" fontId="4" fillId="0" borderId="0" xfId="43" applyNumberFormat="1" applyFont="1" applyFill="1" applyBorder="1" applyAlignment="1" applyProtection="1">
      <alignment vertical="center" wrapText="1"/>
      <protection/>
    </xf>
    <xf numFmtId="0" fontId="74" fillId="0" borderId="0" xfId="43" applyNumberFormat="1" applyFont="1" applyFill="1" applyBorder="1" applyAlignment="1" applyProtection="1">
      <alignment horizontal="left" vertical="center" wrapText="1"/>
      <protection/>
    </xf>
    <xf numFmtId="0" fontId="43" fillId="0" borderId="0" xfId="45" applyNumberFormat="1" applyFont="1" applyFill="1" applyBorder="1" applyAlignment="1" applyProtection="1">
      <alignment vertical="center" wrapText="1"/>
      <protection/>
    </xf>
    <xf numFmtId="0" fontId="43" fillId="0" borderId="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8" fillId="0" borderId="0" xfId="57" applyFont="1" applyBorder="1" applyAlignment="1">
      <alignment horizontal="left" vertical="center" wrapText="1"/>
      <protection/>
    </xf>
    <xf numFmtId="4" fontId="60" fillId="0" borderId="40" xfId="0" applyNumberFormat="1" applyFont="1" applyBorder="1" applyAlignment="1">
      <alignment horizontal="center" vertical="center" wrapText="1"/>
    </xf>
    <xf numFmtId="2" fontId="18" fillId="0" borderId="41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3" fontId="52" fillId="0" borderId="42" xfId="0" applyNumberFormat="1" applyFont="1" applyFill="1" applyBorder="1" applyAlignment="1">
      <alignment horizontal="center" vertical="center" wrapText="1"/>
    </xf>
    <xf numFmtId="181" fontId="11" fillId="0" borderId="43" xfId="0" applyNumberFormat="1" applyFont="1" applyFill="1" applyBorder="1" applyAlignment="1">
      <alignment horizontal="center" vertical="center" wrapText="1"/>
    </xf>
    <xf numFmtId="181" fontId="11" fillId="0" borderId="4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0" fillId="0" borderId="4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8" xfId="0" applyNumberForma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3" fontId="52" fillId="0" borderId="50" xfId="0" applyNumberFormat="1" applyFont="1" applyFill="1" applyBorder="1" applyAlignment="1">
      <alignment horizontal="center" vertical="center" wrapText="1"/>
    </xf>
    <xf numFmtId="3" fontId="52" fillId="0" borderId="51" xfId="0" applyNumberFormat="1" applyFont="1" applyFill="1" applyBorder="1" applyAlignment="1">
      <alignment horizontal="center" vertical="center" wrapText="1"/>
    </xf>
    <xf numFmtId="3" fontId="52" fillId="0" borderId="5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64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38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54" xfId="0" applyFill="1" applyBorder="1" applyAlignment="1">
      <alignment/>
    </xf>
    <xf numFmtId="0" fontId="6" fillId="0" borderId="55" xfId="0" applyFont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18" fillId="0" borderId="57" xfId="59" applyFont="1" applyFill="1" applyBorder="1" applyAlignment="1">
      <alignment horizontal="center" vertical="center" wrapText="1"/>
      <protection/>
    </xf>
    <xf numFmtId="2" fontId="44" fillId="0" borderId="11" xfId="59" applyNumberFormat="1" applyFont="1" applyBorder="1" applyAlignment="1">
      <alignment horizontal="center"/>
      <protection/>
    </xf>
    <xf numFmtId="2" fontId="44" fillId="0" borderId="11" xfId="0" applyNumberFormat="1" applyFont="1" applyBorder="1" applyAlignment="1">
      <alignment horizontal="center"/>
    </xf>
    <xf numFmtId="0" fontId="18" fillId="37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31" fillId="0" borderId="56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Alignment="1">
      <alignment horizontal="center" vertical="center"/>
      <protection/>
    </xf>
    <xf numFmtId="49" fontId="11" fillId="0" borderId="0" xfId="59" applyNumberFormat="1" applyFont="1" applyAlignment="1">
      <alignment horizontal="center" vertical="center" wrapText="1"/>
      <protection/>
    </xf>
    <xf numFmtId="0" fontId="71" fillId="0" borderId="27" xfId="0" applyFont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/>
    </xf>
    <xf numFmtId="0" fontId="0" fillId="4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25" fillId="0" borderId="11" xfId="59" applyNumberFormat="1" applyFont="1" applyFill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wrapText="1"/>
    </xf>
    <xf numFmtId="0" fontId="18" fillId="37" borderId="11" xfId="59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82" fillId="0" borderId="0" xfId="0" applyFont="1" applyAlignment="1">
      <alignment/>
    </xf>
    <xf numFmtId="0" fontId="10" fillId="0" borderId="0" xfId="58" applyFont="1" applyFill="1" applyBorder="1" applyAlignment="1">
      <alignment vertical="center" wrapText="1"/>
      <protection/>
    </xf>
    <xf numFmtId="0" fontId="10" fillId="39" borderId="57" xfId="58" applyFont="1" applyFill="1" applyBorder="1" applyAlignment="1">
      <alignment horizontal="center" vertical="center" wrapText="1"/>
      <protection/>
    </xf>
    <xf numFmtId="0" fontId="10" fillId="39" borderId="58" xfId="58" applyFont="1" applyFill="1" applyBorder="1" applyAlignment="1">
      <alignment horizontal="center" vertical="center" wrapText="1"/>
      <protection/>
    </xf>
    <xf numFmtId="4" fontId="13" fillId="39" borderId="59" xfId="58" applyNumberFormat="1" applyFont="1" applyFill="1" applyBorder="1" applyAlignment="1">
      <alignment horizontal="center" vertical="center" wrapText="1"/>
      <protection/>
    </xf>
    <xf numFmtId="4" fontId="13" fillId="39" borderId="60" xfId="58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1" fillId="0" borderId="0" xfId="0" applyFont="1" applyAlignment="1">
      <alignment/>
    </xf>
    <xf numFmtId="0" fontId="83" fillId="0" borderId="11" xfId="58" applyFont="1" applyBorder="1" applyAlignment="1">
      <alignment horizontal="center" vertical="center" wrapText="1"/>
      <protection/>
    </xf>
    <xf numFmtId="182" fontId="40" fillId="0" borderId="61" xfId="58" applyNumberFormat="1" applyFont="1" applyFill="1" applyBorder="1" applyAlignment="1">
      <alignment horizontal="center" vertical="center" wrapText="1"/>
      <protection/>
    </xf>
    <xf numFmtId="182" fontId="40" fillId="0" borderId="10" xfId="58" applyNumberFormat="1" applyFont="1" applyFill="1" applyBorder="1" applyAlignment="1">
      <alignment horizontal="center" vertical="center" wrapText="1"/>
      <protection/>
    </xf>
    <xf numFmtId="0" fontId="12" fillId="39" borderId="10" xfId="58" applyFont="1" applyFill="1" applyBorder="1" applyAlignment="1">
      <alignment horizontal="center" vertical="center" wrapText="1"/>
      <protection/>
    </xf>
    <xf numFmtId="4" fontId="13" fillId="39" borderId="10" xfId="58" applyNumberFormat="1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2" fontId="40" fillId="0" borderId="10" xfId="58" applyNumberFormat="1" applyFont="1" applyFill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left" vertical="center" wrapText="1"/>
      <protection/>
    </xf>
    <xf numFmtId="4" fontId="25" fillId="0" borderId="10" xfId="58" applyNumberFormat="1" applyFont="1" applyBorder="1" applyAlignment="1">
      <alignment horizontal="center" vertical="center" wrapText="1"/>
      <protection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38" borderId="0" xfId="0" applyFont="1" applyFill="1" applyBorder="1" applyAlignment="1">
      <alignment/>
    </xf>
    <xf numFmtId="0" fontId="0" fillId="0" borderId="0" xfId="33" applyFont="1">
      <alignment/>
      <protection/>
    </xf>
    <xf numFmtId="0" fontId="0" fillId="0" borderId="0" xfId="33" applyAlignment="1">
      <alignment horizontal="center"/>
      <protection/>
    </xf>
    <xf numFmtId="0" fontId="0" fillId="41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0" fillId="38" borderId="0" xfId="0" applyFont="1" applyFill="1" applyBorder="1" applyAlignment="1">
      <alignment horizontal="left"/>
    </xf>
    <xf numFmtId="0" fontId="0" fillId="38" borderId="21" xfId="0" applyFont="1" applyFill="1" applyBorder="1" applyAlignment="1">
      <alignment horizontal="left"/>
    </xf>
    <xf numFmtId="0" fontId="6" fillId="38" borderId="21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21" xfId="0" applyBorder="1" applyAlignment="1">
      <alignment/>
    </xf>
    <xf numFmtId="0" fontId="123" fillId="0" borderId="0" xfId="0" applyFont="1" applyAlignment="1">
      <alignment horizontal="center" vertical="center"/>
    </xf>
    <xf numFmtId="0" fontId="6" fillId="37" borderId="55" xfId="0" applyFont="1" applyFill="1" applyBorder="1" applyAlignment="1">
      <alignment horizontal="center"/>
    </xf>
    <xf numFmtId="0" fontId="11" fillId="0" borderId="37" xfId="59" applyFont="1" applyFill="1" applyBorder="1" applyAlignment="1">
      <alignment vertical="center" wrapText="1"/>
      <protection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182" fontId="0" fillId="0" borderId="13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0" fontId="0" fillId="0" borderId="63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82" fontId="0" fillId="0" borderId="56" xfId="0" applyNumberFormat="1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182" fontId="0" fillId="0" borderId="14" xfId="0" applyNumberForma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82" fontId="0" fillId="0" borderId="0" xfId="0" applyNumberFormat="1" applyAlignment="1">
      <alignment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8" borderId="62" xfId="0" applyFont="1" applyFill="1" applyBorder="1" applyAlignment="1">
      <alignment horizontal="center"/>
    </xf>
    <xf numFmtId="0" fontId="0" fillId="38" borderId="62" xfId="0" applyFont="1" applyFill="1" applyBorder="1" applyAlignment="1">
      <alignment horizontal="left"/>
    </xf>
    <xf numFmtId="0" fontId="2" fillId="33" borderId="11" xfId="33" applyFont="1" applyFill="1" applyBorder="1" applyAlignment="1">
      <alignment horizontal="center" vertical="center" wrapText="1"/>
      <protection/>
    </xf>
    <xf numFmtId="0" fontId="4" fillId="0" borderId="11" xfId="43" applyBorder="1" applyAlignment="1">
      <alignment horizontal="center" vertical="center"/>
    </xf>
    <xf numFmtId="0" fontId="2" fillId="33" borderId="11" xfId="33" applyFont="1" applyFill="1" applyBorder="1" applyAlignment="1">
      <alignment vertical="center" wrapText="1"/>
      <protection/>
    </xf>
    <xf numFmtId="0" fontId="4" fillId="0" borderId="11" xfId="43" applyFont="1" applyBorder="1" applyAlignment="1">
      <alignment horizontal="center" vertical="center"/>
    </xf>
    <xf numFmtId="0" fontId="0" fillId="33" borderId="11" xfId="33" applyFont="1" applyFill="1" applyBorder="1" applyAlignment="1">
      <alignment horizontal="center" wrapText="1"/>
      <protection/>
    </xf>
    <xf numFmtId="0" fontId="2" fillId="33" borderId="33" xfId="33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left"/>
      <protection/>
    </xf>
    <xf numFmtId="0" fontId="0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5" fillId="0" borderId="20" xfId="43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65" fillId="0" borderId="2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5" fillId="0" borderId="39" xfId="0" applyFont="1" applyBorder="1" applyAlignment="1" applyProtection="1">
      <alignment horizontal="center"/>
      <protection/>
    </xf>
    <xf numFmtId="0" fontId="65" fillId="0" borderId="54" xfId="0" applyFont="1" applyBorder="1" applyAlignment="1" applyProtection="1">
      <alignment horizontal="center"/>
      <protection/>
    </xf>
    <xf numFmtId="0" fontId="65" fillId="0" borderId="33" xfId="43" applyNumberFormat="1" applyFont="1" applyFill="1" applyBorder="1" applyAlignment="1" applyProtection="1">
      <alignment horizontal="center" vertical="center" wrapText="1"/>
      <protection/>
    </xf>
    <xf numFmtId="0" fontId="65" fillId="0" borderId="54" xfId="43" applyNumberFormat="1" applyFont="1" applyFill="1" applyBorder="1" applyAlignment="1" applyProtection="1">
      <alignment horizontal="center" vertical="center" wrapText="1"/>
      <protection/>
    </xf>
    <xf numFmtId="0" fontId="47" fillId="0" borderId="66" xfId="43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vertical="center" wrapText="1"/>
    </xf>
    <xf numFmtId="0" fontId="65" fillId="0" borderId="33" xfId="0" applyFont="1" applyBorder="1" applyAlignment="1" applyProtection="1">
      <alignment horizontal="center"/>
      <protection/>
    </xf>
    <xf numFmtId="49" fontId="0" fillId="0" borderId="67" xfId="0" applyNumberFormat="1" applyBorder="1" applyAlignment="1">
      <alignment/>
    </xf>
    <xf numFmtId="0" fontId="6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4" fillId="0" borderId="0" xfId="43" applyNumberFormat="1" applyFont="1" applyFill="1" applyBorder="1" applyAlignment="1" applyProtection="1">
      <alignment wrapText="1"/>
      <protection/>
    </xf>
    <xf numFmtId="0" fontId="6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33" applyFont="1" applyFill="1" applyBorder="1" applyAlignment="1">
      <alignment horizontal="left" vertical="center" wrapText="1"/>
      <protection/>
    </xf>
    <xf numFmtId="0" fontId="4" fillId="0" borderId="10" xfId="43" applyNumberFormat="1" applyFill="1" applyBorder="1" applyAlignment="1" applyProtection="1">
      <alignment horizontal="center" vertical="center"/>
      <protection/>
    </xf>
    <xf numFmtId="14" fontId="11" fillId="0" borderId="0" xfId="0" applyNumberFormat="1" applyFont="1" applyAlignment="1">
      <alignment horizontal="left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39" borderId="33" xfId="58" applyFont="1" applyFill="1" applyBorder="1" applyAlignment="1">
      <alignment horizontal="center" vertical="center" wrapText="1"/>
      <protection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33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58" applyFont="1" applyBorder="1" applyAlignment="1">
      <alignment horizontal="left" vertical="center" wrapText="1"/>
      <protection/>
    </xf>
    <xf numFmtId="0" fontId="22" fillId="0" borderId="27" xfId="58" applyFont="1" applyFill="1" applyBorder="1" applyAlignment="1">
      <alignment horizontal="left" vertical="center" wrapText="1"/>
      <protection/>
    </xf>
    <xf numFmtId="0" fontId="22" fillId="0" borderId="68" xfId="58" applyFont="1" applyFill="1" applyBorder="1" applyAlignment="1">
      <alignment horizontal="left" vertical="center" wrapText="1"/>
      <protection/>
    </xf>
    <xf numFmtId="0" fontId="22" fillId="0" borderId="69" xfId="58" applyFont="1" applyFill="1" applyBorder="1" applyAlignment="1">
      <alignment horizontal="left" vertical="center" wrapText="1"/>
      <protection/>
    </xf>
    <xf numFmtId="0" fontId="22" fillId="0" borderId="27" xfId="58" applyFont="1" applyFill="1" applyBorder="1" applyAlignment="1">
      <alignment horizontal="left" vertical="center" wrapText="1"/>
      <protection/>
    </xf>
    <xf numFmtId="0" fontId="22" fillId="0" borderId="68" xfId="58" applyFont="1" applyFill="1" applyBorder="1" applyAlignment="1">
      <alignment horizontal="left" vertical="center" wrapText="1"/>
      <protection/>
    </xf>
    <xf numFmtId="0" fontId="22" fillId="0" borderId="69" xfId="58" applyFont="1" applyFill="1" applyBorder="1" applyAlignment="1">
      <alignment horizontal="left" vertical="center" wrapText="1"/>
      <protection/>
    </xf>
    <xf numFmtId="0" fontId="26" fillId="0" borderId="27" xfId="58" applyFont="1" applyFill="1" applyBorder="1" applyAlignment="1">
      <alignment horizontal="left" vertical="center" wrapText="1"/>
      <protection/>
    </xf>
    <xf numFmtId="0" fontId="26" fillId="0" borderId="68" xfId="58" applyFont="1" applyFill="1" applyBorder="1" applyAlignment="1">
      <alignment horizontal="left" vertical="center" wrapText="1"/>
      <protection/>
    </xf>
    <xf numFmtId="0" fontId="26" fillId="0" borderId="69" xfId="58" applyFont="1" applyFill="1" applyBorder="1" applyAlignment="1">
      <alignment horizontal="left" vertical="center" wrapText="1"/>
      <protection/>
    </xf>
    <xf numFmtId="0" fontId="2" fillId="0" borderId="0" xfId="58" applyBorder="1">
      <alignment/>
      <protection/>
    </xf>
    <xf numFmtId="14" fontId="7" fillId="0" borderId="0" xfId="58" applyNumberFormat="1" applyFont="1" applyBorder="1" applyAlignment="1">
      <alignment horizontal="left" vertical="center" wrapText="1"/>
      <protection/>
    </xf>
    <xf numFmtId="0" fontId="42" fillId="0" borderId="0" xfId="58" applyFont="1" applyBorder="1">
      <alignment/>
      <protection/>
    </xf>
    <xf numFmtId="0" fontId="4" fillId="0" borderId="0" xfId="43" applyBorder="1" applyAlignment="1">
      <alignment/>
    </xf>
    <xf numFmtId="14" fontId="78" fillId="0" borderId="0" xfId="58" applyNumberFormat="1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10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4" fillId="0" borderId="0" xfId="43" applyAlignment="1">
      <alignment horizontal="center"/>
    </xf>
    <xf numFmtId="0" fontId="10" fillId="39" borderId="10" xfId="58" applyFont="1" applyFill="1" applyBorder="1" applyAlignment="1">
      <alignment horizontal="center" vertical="center" wrapText="1"/>
      <protection/>
    </xf>
    <xf numFmtId="0" fontId="26" fillId="0" borderId="11" xfId="58" applyFont="1" applyFill="1" applyBorder="1" applyAlignment="1">
      <alignment horizontal="left" vertical="center" wrapText="1"/>
      <protection/>
    </xf>
    <xf numFmtId="0" fontId="49" fillId="0" borderId="0" xfId="43" applyFont="1" applyAlignment="1">
      <alignment horizontal="center"/>
    </xf>
    <xf numFmtId="0" fontId="22" fillId="0" borderId="11" xfId="58" applyFont="1" applyFill="1" applyBorder="1" applyAlignment="1">
      <alignment horizontal="left" vertical="center" wrapText="1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0" fontId="16" fillId="0" borderId="10" xfId="58" applyFont="1" applyBorder="1" applyAlignment="1">
      <alignment horizontal="center" vertical="center" wrapText="1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4" fontId="76" fillId="0" borderId="0" xfId="58" applyNumberFormat="1" applyFont="1" applyBorder="1" applyAlignment="1">
      <alignment horizontal="center" vertical="center" wrapText="1"/>
      <protection/>
    </xf>
    <xf numFmtId="0" fontId="10" fillId="0" borderId="33" xfId="58" applyFont="1" applyFill="1" applyBorder="1" applyAlignment="1">
      <alignment horizontal="center" vertical="center" wrapText="1"/>
      <protection/>
    </xf>
    <xf numFmtId="0" fontId="10" fillId="0" borderId="54" xfId="58" applyFont="1" applyFill="1" applyBorder="1" applyAlignment="1">
      <alignment horizontal="center" vertical="center" wrapText="1"/>
      <protection/>
    </xf>
    <xf numFmtId="0" fontId="50" fillId="0" borderId="0" xfId="58" applyFont="1" applyBorder="1" applyAlignment="1">
      <alignment horizontal="left" vertical="center" wrapText="1"/>
      <protection/>
    </xf>
    <xf numFmtId="0" fontId="4" fillId="0" borderId="0" xfId="43" applyBorder="1" applyAlignment="1">
      <alignment horizontal="center" vertical="center" wrapText="1"/>
    </xf>
    <xf numFmtId="0" fontId="7" fillId="0" borderId="0" xfId="58" applyFont="1" applyBorder="1" applyAlignment="1">
      <alignment horizontal="right"/>
      <protection/>
    </xf>
    <xf numFmtId="0" fontId="36" fillId="0" borderId="0" xfId="58" applyFont="1" applyFill="1" applyBorder="1" applyAlignment="1">
      <alignment horizontal="left" vertical="center" wrapText="1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10" fillId="34" borderId="11" xfId="58" applyFont="1" applyFill="1" applyBorder="1" applyAlignment="1">
      <alignment horizontal="center" vertical="center" wrapText="1"/>
      <protection/>
    </xf>
    <xf numFmtId="0" fontId="10" fillId="34" borderId="33" xfId="58" applyFont="1" applyFill="1" applyBorder="1" applyAlignment="1">
      <alignment horizontal="center" vertical="center" wrapText="1"/>
      <protection/>
    </xf>
    <xf numFmtId="0" fontId="10" fillId="34" borderId="39" xfId="58" applyFont="1" applyFill="1" applyBorder="1" applyAlignment="1">
      <alignment horizontal="center" vertical="center" wrapText="1"/>
      <protection/>
    </xf>
    <xf numFmtId="0" fontId="10" fillId="34" borderId="54" xfId="58" applyFont="1" applyFill="1" applyBorder="1" applyAlignment="1">
      <alignment horizontal="center" vertical="center" wrapText="1"/>
      <protection/>
    </xf>
    <xf numFmtId="0" fontId="6" fillId="38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6" fillId="0" borderId="0" xfId="56" applyFont="1" applyAlignment="1">
      <alignment horizontal="left"/>
      <protection/>
    </xf>
    <xf numFmtId="0" fontId="28" fillId="0" borderId="0" xfId="0" applyFont="1" applyBorder="1" applyAlignment="1">
      <alignment horizontal="left"/>
    </xf>
    <xf numFmtId="0" fontId="4" fillId="0" borderId="0" xfId="43" applyFont="1" applyBorder="1" applyAlignment="1">
      <alignment horizontal="left"/>
    </xf>
    <xf numFmtId="0" fontId="4" fillId="0" borderId="0" xfId="43" applyBorder="1" applyAlignment="1">
      <alignment horizontal="left"/>
    </xf>
    <xf numFmtId="0" fontId="11" fillId="39" borderId="70" xfId="0" applyFont="1" applyFill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0" fillId="34" borderId="0" xfId="0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5" fillId="0" borderId="37" xfId="43" applyNumberFormat="1" applyFont="1" applyFill="1" applyBorder="1" applyAlignment="1" applyProtection="1">
      <alignment horizontal="center" vertical="center" wrapText="1"/>
      <protection/>
    </xf>
    <xf numFmtId="0" fontId="65" fillId="0" borderId="20" xfId="43" applyNumberFormat="1" applyFont="1" applyFill="1" applyBorder="1" applyAlignment="1" applyProtection="1">
      <alignment horizontal="center" vertical="center" wrapText="1"/>
      <protection/>
    </xf>
    <xf numFmtId="0" fontId="65" fillId="0" borderId="71" xfId="0" applyFont="1" applyBorder="1" applyAlignment="1">
      <alignment horizontal="center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47" fillId="0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53" xfId="43" applyNumberFormat="1" applyFont="1" applyFill="1" applyBorder="1" applyAlignment="1" applyProtection="1">
      <alignment horizontal="center" vertical="center" wrapText="1"/>
      <protection/>
    </xf>
    <xf numFmtId="0" fontId="4" fillId="0" borderId="61" xfId="43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65" fillId="0" borderId="73" xfId="0" applyFont="1" applyBorder="1" applyAlignment="1">
      <alignment horizontal="center"/>
    </xf>
    <xf numFmtId="0" fontId="65" fillId="0" borderId="71" xfId="43" applyNumberFormat="1" applyFont="1" applyFill="1" applyBorder="1" applyAlignment="1" applyProtection="1">
      <alignment horizontal="center" vertical="center" wrapText="1"/>
      <protection/>
    </xf>
    <xf numFmtId="0" fontId="65" fillId="0" borderId="72" xfId="43" applyNumberFormat="1" applyFont="1" applyFill="1" applyBorder="1" applyAlignment="1" applyProtection="1">
      <alignment horizontal="center" vertical="center" wrapText="1"/>
      <protection/>
    </xf>
    <xf numFmtId="0" fontId="65" fillId="0" borderId="73" xfId="43" applyNumberFormat="1" applyFont="1" applyFill="1" applyBorder="1" applyAlignment="1" applyProtection="1">
      <alignment horizontal="center" vertical="center" wrapText="1"/>
      <protection/>
    </xf>
    <xf numFmtId="0" fontId="65" fillId="0" borderId="0" xfId="43" applyNumberFormat="1" applyFont="1" applyFill="1" applyBorder="1" applyAlignment="1" applyProtection="1">
      <alignment horizontal="center" vertical="center" wrapText="1"/>
      <protection/>
    </xf>
    <xf numFmtId="0" fontId="65" fillId="0" borderId="36" xfId="43" applyNumberFormat="1" applyFont="1" applyFill="1" applyBorder="1" applyAlignment="1" applyProtection="1">
      <alignment horizontal="center" vertical="center" wrapText="1"/>
      <protection/>
    </xf>
    <xf numFmtId="0" fontId="65" fillId="0" borderId="74" xfId="43" applyNumberFormat="1" applyFont="1" applyFill="1" applyBorder="1" applyAlignment="1" applyProtection="1">
      <alignment horizontal="center" vertical="center" wrapText="1"/>
      <protection/>
    </xf>
    <xf numFmtId="0" fontId="65" fillId="0" borderId="75" xfId="43" applyNumberFormat="1" applyFont="1" applyFill="1" applyBorder="1" applyAlignment="1" applyProtection="1">
      <alignment horizontal="center" vertical="center" wrapText="1"/>
      <protection/>
    </xf>
    <xf numFmtId="0" fontId="65" fillId="0" borderId="76" xfId="43" applyNumberFormat="1" applyFont="1" applyFill="1" applyBorder="1" applyAlignment="1" applyProtection="1">
      <alignment horizontal="center" vertical="center" wrapText="1"/>
      <protection/>
    </xf>
    <xf numFmtId="0" fontId="65" fillId="0" borderId="77" xfId="43" applyNumberFormat="1" applyFont="1" applyFill="1" applyBorder="1" applyAlignment="1" applyProtection="1">
      <alignment horizontal="center" vertical="center" wrapText="1"/>
      <protection/>
    </xf>
    <xf numFmtId="0" fontId="65" fillId="0" borderId="38" xfId="43" applyNumberFormat="1" applyFont="1" applyFill="1" applyBorder="1" applyAlignment="1" applyProtection="1">
      <alignment horizontal="center" vertical="center" wrapText="1"/>
      <protection/>
    </xf>
    <xf numFmtId="0" fontId="65" fillId="0" borderId="65" xfId="43" applyNumberFormat="1" applyFont="1" applyFill="1" applyBorder="1" applyAlignment="1" applyProtection="1">
      <alignment horizontal="center" vertical="center" wrapText="1"/>
      <protection/>
    </xf>
    <xf numFmtId="0" fontId="65" fillId="0" borderId="78" xfId="43" applyNumberFormat="1" applyFont="1" applyFill="1" applyBorder="1" applyAlignment="1" applyProtection="1">
      <alignment horizontal="center" vertical="center" wrapText="1"/>
      <protection/>
    </xf>
    <xf numFmtId="0" fontId="65" fillId="0" borderId="79" xfId="43" applyNumberFormat="1" applyFont="1" applyFill="1" applyBorder="1" applyAlignment="1" applyProtection="1">
      <alignment horizontal="center" vertical="center" wrapText="1"/>
      <protection/>
    </xf>
    <xf numFmtId="0" fontId="65" fillId="0" borderId="80" xfId="43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47" fillId="0" borderId="57" xfId="43" applyNumberFormat="1" applyFont="1" applyFill="1" applyBorder="1" applyAlignment="1" applyProtection="1">
      <alignment horizontal="center" vertical="center" wrapText="1"/>
      <protection/>
    </xf>
    <xf numFmtId="0" fontId="47" fillId="0" borderId="58" xfId="43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/>
    </xf>
    <xf numFmtId="0" fontId="65" fillId="0" borderId="76" xfId="0" applyFont="1" applyBorder="1" applyAlignment="1">
      <alignment horizontal="center"/>
    </xf>
    <xf numFmtId="0" fontId="65" fillId="0" borderId="71" xfId="0" applyFont="1" applyBorder="1" applyAlignment="1" applyProtection="1">
      <alignment horizontal="center"/>
      <protection/>
    </xf>
    <xf numFmtId="0" fontId="65" fillId="0" borderId="77" xfId="0" applyFont="1" applyBorder="1" applyAlignment="1" applyProtection="1">
      <alignment horizontal="center"/>
      <protection/>
    </xf>
    <xf numFmtId="0" fontId="65" fillId="0" borderId="76" xfId="0" applyFont="1" applyBorder="1" applyAlignment="1" applyProtection="1">
      <alignment horizontal="center"/>
      <protection/>
    </xf>
    <xf numFmtId="0" fontId="74" fillId="0" borderId="0" xfId="43" applyNumberFormat="1" applyFont="1" applyFill="1" applyBorder="1" applyAlignment="1" applyProtection="1">
      <alignment horizontal="left" vertical="center" wrapText="1"/>
      <protection/>
    </xf>
    <xf numFmtId="0" fontId="6" fillId="0" borderId="0" xfId="43" applyNumberFormat="1" applyFont="1" applyFill="1" applyBorder="1" applyAlignment="1" applyProtection="1">
      <alignment horizontal="left" vertical="center" wrapText="1"/>
      <protection/>
    </xf>
    <xf numFmtId="0" fontId="4" fillId="0" borderId="0" xfId="43" applyNumberFormat="1" applyFont="1" applyFill="1" applyBorder="1" applyAlignment="1" applyProtection="1">
      <alignment horizontal="left" vertical="center" wrapText="1"/>
      <protection/>
    </xf>
    <xf numFmtId="0" fontId="65" fillId="0" borderId="81" xfId="0" applyFont="1" applyBorder="1" applyAlignment="1">
      <alignment horizontal="center"/>
    </xf>
    <xf numFmtId="0" fontId="65" fillId="0" borderId="8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5" fillId="0" borderId="81" xfId="43" applyNumberFormat="1" applyFont="1" applyFill="1" applyBorder="1" applyAlignment="1" applyProtection="1">
      <alignment horizontal="center" vertical="center" wrapText="1"/>
      <protection/>
    </xf>
    <xf numFmtId="0" fontId="65" fillId="0" borderId="83" xfId="43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43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8" borderId="0" xfId="0" applyFont="1" applyFill="1" applyAlignment="1">
      <alignment horizontal="center"/>
    </xf>
    <xf numFmtId="2" fontId="114" fillId="0" borderId="36" xfId="0" applyNumberFormat="1" applyFont="1" applyBorder="1" applyAlignment="1">
      <alignment horizontal="center" vertical="center"/>
    </xf>
    <xf numFmtId="2" fontId="114" fillId="0" borderId="75" xfId="0" applyNumberFormat="1" applyFont="1" applyBorder="1" applyAlignment="1">
      <alignment horizontal="center" vertical="center"/>
    </xf>
    <xf numFmtId="2" fontId="114" fillId="0" borderId="37" xfId="0" applyNumberFormat="1" applyFont="1" applyBorder="1" applyAlignment="1">
      <alignment horizontal="center" vertical="center"/>
    </xf>
    <xf numFmtId="2" fontId="114" fillId="0" borderId="20" xfId="0" applyNumberFormat="1" applyFont="1" applyBorder="1" applyAlignment="1">
      <alignment horizontal="center" vertical="center"/>
    </xf>
    <xf numFmtId="2" fontId="114" fillId="0" borderId="38" xfId="0" applyNumberFormat="1" applyFont="1" applyBorder="1" applyAlignment="1">
      <alignment horizontal="center" vertical="center"/>
    </xf>
    <xf numFmtId="2" fontId="114" fillId="0" borderId="65" xfId="0" applyNumberFormat="1" applyFont="1" applyBorder="1" applyAlignment="1">
      <alignment horizontal="center" vertical="center"/>
    </xf>
    <xf numFmtId="0" fontId="6" fillId="38" borderId="62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8" borderId="36" xfId="0" applyFont="1" applyFill="1" applyBorder="1" applyAlignment="1">
      <alignment horizontal="center" vertical="center"/>
    </xf>
    <xf numFmtId="0" fontId="6" fillId="38" borderId="75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" fillId="38" borderId="38" xfId="0" applyFont="1" applyFill="1" applyBorder="1" applyAlignment="1">
      <alignment horizontal="center" vertical="center"/>
    </xf>
    <xf numFmtId="0" fontId="6" fillId="38" borderId="65" xfId="0" applyFont="1" applyFill="1" applyBorder="1" applyAlignment="1">
      <alignment horizontal="center" vertical="center"/>
    </xf>
    <xf numFmtId="2" fontId="114" fillId="0" borderId="55" xfId="0" applyNumberFormat="1" applyFont="1" applyBorder="1" applyAlignment="1">
      <alignment horizontal="center"/>
    </xf>
    <xf numFmtId="2" fontId="114" fillId="0" borderId="5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42" borderId="36" xfId="0" applyFont="1" applyFill="1" applyBorder="1" applyAlignment="1">
      <alignment horizontal="center"/>
    </xf>
    <xf numFmtId="0" fontId="6" fillId="42" borderId="37" xfId="0" applyFont="1" applyFill="1" applyBorder="1" applyAlignment="1">
      <alignment horizontal="center"/>
    </xf>
    <xf numFmtId="0" fontId="6" fillId="42" borderId="38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left"/>
    </xf>
    <xf numFmtId="0" fontId="73" fillId="0" borderId="36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30" fillId="0" borderId="84" xfId="0" applyFont="1" applyBorder="1" applyAlignment="1">
      <alignment horizontal="center" vertical="center" textRotation="90"/>
    </xf>
    <xf numFmtId="0" fontId="30" fillId="0" borderId="85" xfId="0" applyFont="1" applyBorder="1" applyAlignment="1">
      <alignment horizontal="center" vertical="center" textRotation="90"/>
    </xf>
    <xf numFmtId="0" fontId="30" fillId="0" borderId="86" xfId="0" applyFont="1" applyBorder="1" applyAlignment="1">
      <alignment horizontal="center" vertical="center" textRotation="90"/>
    </xf>
    <xf numFmtId="0" fontId="3" fillId="0" borderId="87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14" fontId="59" fillId="0" borderId="23" xfId="0" applyNumberFormat="1" applyFont="1" applyBorder="1" applyAlignment="1">
      <alignment horizontal="center" vertical="center" wrapText="1"/>
    </xf>
    <xf numFmtId="4" fontId="60" fillId="0" borderId="92" xfId="0" applyNumberFormat="1" applyFont="1" applyBorder="1" applyAlignment="1">
      <alignment horizontal="center" vertical="center" wrapText="1"/>
    </xf>
    <xf numFmtId="4" fontId="60" fillId="0" borderId="93" xfId="0" applyNumberFormat="1" applyFont="1" applyBorder="1" applyAlignment="1">
      <alignment horizontal="center" vertical="center" wrapText="1"/>
    </xf>
    <xf numFmtId="14" fontId="20" fillId="0" borderId="5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4" fillId="0" borderId="0" xfId="43" applyBorder="1" applyAlignment="1">
      <alignment vertical="center" wrapText="1"/>
    </xf>
    <xf numFmtId="0" fontId="5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textRotation="90"/>
    </xf>
    <xf numFmtId="0" fontId="30" fillId="0" borderId="85" xfId="0" applyFont="1" applyBorder="1" applyAlignment="1">
      <alignment horizontal="center" textRotation="90"/>
    </xf>
    <xf numFmtId="0" fontId="30" fillId="0" borderId="15" xfId="0" applyFont="1" applyBorder="1" applyAlignment="1">
      <alignment horizontal="center" textRotation="90"/>
    </xf>
    <xf numFmtId="0" fontId="30" fillId="0" borderId="84" xfId="0" applyFont="1" applyBorder="1" applyAlignment="1">
      <alignment horizontal="center" textRotation="90"/>
    </xf>
    <xf numFmtId="0" fontId="30" fillId="0" borderId="86" xfId="0" applyFont="1" applyBorder="1" applyAlignment="1">
      <alignment horizontal="center" textRotation="90"/>
    </xf>
    <xf numFmtId="14" fontId="20" fillId="0" borderId="95" xfId="0" applyNumberFormat="1" applyFont="1" applyBorder="1" applyAlignment="1">
      <alignment horizontal="center" vertical="center" wrapText="1"/>
    </xf>
    <xf numFmtId="14" fontId="20" fillId="0" borderId="96" xfId="0" applyNumberFormat="1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right" vertical="center" wrapText="1"/>
    </xf>
    <xf numFmtId="14" fontId="59" fillId="0" borderId="100" xfId="0" applyNumberFormat="1" applyFont="1" applyBorder="1" applyAlignment="1">
      <alignment horizontal="center" vertical="center" wrapText="1"/>
    </xf>
    <xf numFmtId="14" fontId="59" fillId="0" borderId="101" xfId="0" applyNumberFormat="1" applyFont="1" applyBorder="1" applyAlignment="1">
      <alignment horizontal="center" vertical="center" wrapText="1"/>
    </xf>
    <xf numFmtId="4" fontId="60" fillId="0" borderId="94" xfId="0" applyNumberFormat="1" applyFont="1" applyBorder="1" applyAlignment="1">
      <alignment horizontal="center" vertical="center" wrapText="1"/>
    </xf>
    <xf numFmtId="4" fontId="60" fillId="0" borderId="102" xfId="0" applyNumberFormat="1" applyFont="1" applyBorder="1" applyAlignment="1">
      <alignment horizontal="center" vertical="center" wrapText="1"/>
    </xf>
    <xf numFmtId="4" fontId="60" fillId="0" borderId="47" xfId="0" applyNumberFormat="1" applyFont="1" applyBorder="1" applyAlignment="1">
      <alignment horizontal="center" vertical="center" wrapText="1"/>
    </xf>
    <xf numFmtId="0" fontId="18" fillId="39" borderId="2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right"/>
    </xf>
    <xf numFmtId="0" fontId="42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 wrapText="1"/>
    </xf>
    <xf numFmtId="0" fontId="73" fillId="0" borderId="37" xfId="0" applyNumberFormat="1" applyFont="1" applyFill="1" applyBorder="1" applyAlignment="1" applyProtection="1">
      <alignment/>
      <protection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 vertical="center" wrapText="1"/>
    </xf>
    <xf numFmtId="0" fontId="36" fillId="0" borderId="0" xfId="59" applyFont="1" applyAlignment="1">
      <alignment horizontal="center"/>
      <protection/>
    </xf>
    <xf numFmtId="0" fontId="73" fillId="0" borderId="36" xfId="59" applyNumberFormat="1" applyFont="1" applyFill="1" applyBorder="1" applyAlignment="1" applyProtection="1">
      <alignment/>
      <protection/>
    </xf>
    <xf numFmtId="0" fontId="25" fillId="0" borderId="0" xfId="59" applyFont="1" applyFill="1" applyAlignment="1">
      <alignment horizontal="left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57" xfId="59" applyFont="1" applyFill="1" applyBorder="1" applyAlignment="1">
      <alignment horizontal="center" vertical="center" wrapText="1"/>
      <protection/>
    </xf>
    <xf numFmtId="0" fontId="30" fillId="0" borderId="53" xfId="59" applyFont="1" applyFill="1" applyBorder="1" applyAlignment="1">
      <alignment horizontal="center" vertical="center" wrapText="1"/>
      <protection/>
    </xf>
    <xf numFmtId="0" fontId="30" fillId="0" borderId="103" xfId="59" applyFont="1" applyFill="1" applyBorder="1" applyAlignment="1">
      <alignment horizontal="center" vertical="center" wrapText="1"/>
      <protection/>
    </xf>
    <xf numFmtId="0" fontId="18" fillId="37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6" fillId="0" borderId="0" xfId="59" applyFont="1" applyAlignment="1">
      <alignment horizontal="center" wrapText="1"/>
      <protection/>
    </xf>
    <xf numFmtId="0" fontId="30" fillId="0" borderId="37" xfId="59" applyFont="1" applyFill="1" applyBorder="1" applyAlignment="1">
      <alignment horizontal="center" vertical="center" wrapText="1"/>
      <protection/>
    </xf>
    <xf numFmtId="0" fontId="30" fillId="0" borderId="0" xfId="59" applyFont="1" applyFill="1" applyBorder="1" applyAlignment="1">
      <alignment horizontal="center" vertical="center" wrapText="1"/>
      <protection/>
    </xf>
    <xf numFmtId="0" fontId="3" fillId="43" borderId="61" xfId="0" applyFont="1" applyFill="1" applyBorder="1" applyAlignment="1">
      <alignment horizontal="center" vertical="center" wrapText="1"/>
    </xf>
    <xf numFmtId="2" fontId="0" fillId="40" borderId="10" xfId="0" applyNumberFormat="1" applyFill="1" applyBorder="1" applyAlignment="1">
      <alignment horizontal="center"/>
    </xf>
    <xf numFmtId="0" fontId="71" fillId="43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21" xfId="59" applyFont="1" applyBorder="1" applyAlignment="1">
      <alignment horizontal="center" wrapText="1"/>
      <protection/>
    </xf>
    <xf numFmtId="0" fontId="46" fillId="0" borderId="0" xfId="59" applyFont="1" applyBorder="1" applyAlignment="1">
      <alignment horizontal="center" wrapText="1"/>
      <protection/>
    </xf>
    <xf numFmtId="0" fontId="36" fillId="0" borderId="0" xfId="59" applyFont="1" applyAlignment="1">
      <alignment horizontal="left" wrapText="1"/>
      <protection/>
    </xf>
    <xf numFmtId="0" fontId="3" fillId="0" borderId="94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4" xfId="0" applyFont="1" applyBorder="1" applyAlignment="1">
      <alignment horizontal="center" textRotation="90" wrapText="1"/>
    </xf>
    <xf numFmtId="0" fontId="3" fillId="0" borderId="105" xfId="0" applyFont="1" applyBorder="1" applyAlignment="1">
      <alignment horizontal="center" textRotation="90" wrapText="1"/>
    </xf>
    <xf numFmtId="0" fontId="3" fillId="0" borderId="64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2" fontId="6" fillId="40" borderId="55" xfId="0" applyNumberFormat="1" applyFont="1" applyFill="1" applyBorder="1" applyAlignment="1">
      <alignment horizontal="center" vertical="center" wrapText="1" shrinkToFit="1"/>
    </xf>
    <xf numFmtId="2" fontId="6" fillId="40" borderId="56" xfId="0" applyNumberFormat="1" applyFont="1" applyFill="1" applyBorder="1" applyAlignment="1">
      <alignment horizontal="center" vertical="center" wrapText="1" shrinkToFit="1"/>
    </xf>
    <xf numFmtId="0" fontId="6" fillId="40" borderId="36" xfId="0" applyFont="1" applyFill="1" applyBorder="1" applyAlignment="1">
      <alignment horizontal="center" vertical="center" wrapText="1" shrinkToFit="1"/>
    </xf>
    <xf numFmtId="0" fontId="6" fillId="40" borderId="75" xfId="0" applyFont="1" applyFill="1" applyBorder="1" applyAlignment="1">
      <alignment horizontal="center" vertical="center" wrapText="1" shrinkToFit="1"/>
    </xf>
    <xf numFmtId="0" fontId="6" fillId="40" borderId="38" xfId="0" applyFont="1" applyFill="1" applyBorder="1" applyAlignment="1">
      <alignment horizontal="center" vertical="center" wrapText="1" shrinkToFit="1"/>
    </xf>
    <xf numFmtId="0" fontId="6" fillId="40" borderId="65" xfId="0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2" fontId="11" fillId="0" borderId="55" xfId="0" applyNumberFormat="1" applyFont="1" applyBorder="1" applyAlignment="1">
      <alignment horizontal="center" vertical="center" wrapText="1" shrinkToFit="1"/>
    </xf>
    <xf numFmtId="2" fontId="11" fillId="0" borderId="56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 shrinkToFit="1"/>
    </xf>
    <xf numFmtId="0" fontId="6" fillId="40" borderId="27" xfId="0" applyFont="1" applyFill="1" applyBorder="1" applyAlignment="1">
      <alignment horizontal="center" vertical="center" wrapText="1" shrinkToFit="1"/>
    </xf>
    <xf numFmtId="0" fontId="6" fillId="40" borderId="57" xfId="0" applyFont="1" applyFill="1" applyBorder="1" applyAlignment="1">
      <alignment horizontal="center" vertical="center" wrapText="1" shrinkToFit="1"/>
    </xf>
    <xf numFmtId="0" fontId="6" fillId="40" borderId="58" xfId="0" applyFont="1" applyFill="1" applyBorder="1" applyAlignment="1">
      <alignment horizontal="center" vertical="center" wrapText="1" shrinkToFit="1"/>
    </xf>
    <xf numFmtId="0" fontId="18" fillId="0" borderId="55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70" fillId="33" borderId="11" xfId="33" applyFont="1" applyFill="1" applyBorder="1" applyAlignment="1">
      <alignment horizontal="center"/>
      <protection/>
    </xf>
    <xf numFmtId="0" fontId="2" fillId="33" borderId="33" xfId="33" applyFont="1" applyFill="1" applyBorder="1" applyAlignment="1">
      <alignment horizontal="center" vertical="center" wrapText="1"/>
      <protection/>
    </xf>
    <xf numFmtId="0" fontId="2" fillId="33" borderId="54" xfId="33" applyFont="1" applyFill="1" applyBorder="1" applyAlignment="1">
      <alignment horizontal="center" vertical="center" wrapText="1"/>
      <protection/>
    </xf>
    <xf numFmtId="0" fontId="70" fillId="33" borderId="11" xfId="33" applyFont="1" applyFill="1" applyBorder="1" applyAlignment="1">
      <alignment horizontal="center" vertical="center"/>
      <protection/>
    </xf>
    <xf numFmtId="0" fontId="70" fillId="33" borderId="0" xfId="33" applyFont="1" applyFill="1" applyBorder="1" applyAlignment="1">
      <alignment horizontal="center" vertical="center"/>
      <protection/>
    </xf>
    <xf numFmtId="0" fontId="2" fillId="33" borderId="11" xfId="33" applyFont="1" applyFill="1" applyBorder="1" applyAlignment="1">
      <alignment horizontal="left" vertical="top" wrapText="1"/>
      <protection/>
    </xf>
    <xf numFmtId="0" fontId="2" fillId="33" borderId="11" xfId="33" applyFont="1" applyFill="1" applyBorder="1" applyAlignment="1">
      <alignment horizontal="left" vertical="center" wrapText="1"/>
      <protection/>
    </xf>
    <xf numFmtId="0" fontId="4" fillId="0" borderId="11" xfId="43" applyBorder="1" applyAlignment="1">
      <alignment horizontal="center" vertical="center"/>
    </xf>
    <xf numFmtId="0" fontId="2" fillId="0" borderId="33" xfId="33" applyFont="1" applyFill="1" applyBorder="1" applyAlignment="1">
      <alignment horizontal="center" vertical="center" wrapText="1"/>
      <protection/>
    </xf>
    <xf numFmtId="0" fontId="2" fillId="0" borderId="54" xfId="33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_18_07_14_Plastics_Dekton_UAH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18_07_14_Plastics_Dekton_UAH" xfId="57"/>
    <cellStyle name="Обычный_Лист1" xfId="58"/>
    <cellStyle name="Обычный_пластик HPL _2014 ценообразование" xfId="59"/>
    <cellStyle name="Обычный_плитка Silestone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hyperlink" Target="http://www.plastics.ua/dom" TargetMode="External" /><Relationship Id="rId8" Type="http://schemas.openxmlformats.org/officeDocument/2006/relationships/hyperlink" Target="#&#1050;&#1086;&#1085;&#1090;&#1072;&#1082;&#1090;&#1099;!A1" /><Relationship Id="rId9" Type="http://schemas.openxmlformats.org/officeDocument/2006/relationships/image" Target="../media/image7.png" /><Relationship Id="rId10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9.png" /><Relationship Id="rId3" Type="http://schemas.openxmlformats.org/officeDocument/2006/relationships/image" Target="../media/image35.png" /><Relationship Id="rId4" Type="http://schemas.openxmlformats.org/officeDocument/2006/relationships/image" Target="../media/image32.png" /><Relationship Id="rId5" Type="http://schemas.openxmlformats.org/officeDocument/2006/relationships/image" Target="../media/image36.png" /><Relationship Id="rId6" Type="http://schemas.openxmlformats.org/officeDocument/2006/relationships/image" Target="../media/image31.png" /><Relationship Id="rId7" Type="http://schemas.openxmlformats.org/officeDocument/2006/relationships/image" Target="../media/image33.png" /><Relationship Id="rId8" Type="http://schemas.openxmlformats.org/officeDocument/2006/relationships/hyperlink" Target="#&#1050;&#1086;&#1085;&#1090;&#1072;&#1082;&#1090;&#1099;!A1" /><Relationship Id="rId9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0.png" /><Relationship Id="rId5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38.jpeg" /><Relationship Id="rId4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0.png" /><Relationship Id="rId4" Type="http://schemas.openxmlformats.org/officeDocument/2006/relationships/image" Target="../media/image38.jpeg" /><Relationship Id="rId5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0.png" /><Relationship Id="rId4" Type="http://schemas.openxmlformats.org/officeDocument/2006/relationships/image" Target="../media/image8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39.png" /><Relationship Id="rId4" Type="http://schemas.openxmlformats.org/officeDocument/2006/relationships/image" Target="../media/image8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0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3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0.png" /><Relationship Id="rId5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0.png" /><Relationship Id="rId5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2.png" /><Relationship Id="rId4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8.jpe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3.png" /><Relationship Id="rId3" Type="http://schemas.openxmlformats.org/officeDocument/2006/relationships/hyperlink" Target="http://www.plastics.ua/dom" TargetMode="External" /><Relationship Id="rId4" Type="http://schemas.openxmlformats.org/officeDocument/2006/relationships/image" Target="../media/image10.png" /><Relationship Id="rId5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dom" TargetMode="External" /><Relationship Id="rId5" Type="http://schemas.openxmlformats.org/officeDocument/2006/relationships/image" Target="../media/image8.jpeg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4.emf" /><Relationship Id="rId9" Type="http://schemas.openxmlformats.org/officeDocument/2006/relationships/hyperlink" Target="http://www.plastics.ua/dom" TargetMode="External" /><Relationship Id="rId10" Type="http://schemas.openxmlformats.org/officeDocument/2006/relationships/hyperlink" Target="#&#1050;&#1086;&#1085;&#1090;&#1072;&#1082;&#1090;&#1099;!A1" /><Relationship Id="rId11" Type="http://schemas.openxmlformats.org/officeDocument/2006/relationships/image" Target="../media/image25.png" /><Relationship Id="rId12" Type="http://schemas.openxmlformats.org/officeDocument/2006/relationships/image" Target="../media/image13.png" /><Relationship Id="rId13" Type="http://schemas.openxmlformats.org/officeDocument/2006/relationships/image" Target="../media/image26.jpe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9.png" /><Relationship Id="rId3" Type="http://schemas.openxmlformats.org/officeDocument/2006/relationships/image" Target="../media/image30.png" /><Relationship Id="rId4" Type="http://schemas.openxmlformats.org/officeDocument/2006/relationships/image" Target="../media/image31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34.png" /><Relationship Id="rId8" Type="http://schemas.openxmlformats.org/officeDocument/2006/relationships/image" Target="../media/image35.png" /><Relationship Id="rId9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5</xdr:row>
      <xdr:rowOff>47625</xdr:rowOff>
    </xdr:from>
    <xdr:to>
      <xdr:col>1</xdr:col>
      <xdr:colOff>2476500</xdr:colOff>
      <xdr:row>5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790825"/>
          <a:ext cx="1247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2571750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781175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6</xdr:row>
      <xdr:rowOff>57150</xdr:rowOff>
    </xdr:from>
    <xdr:to>
      <xdr:col>1</xdr:col>
      <xdr:colOff>2686050</xdr:colOff>
      <xdr:row>8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3705225"/>
          <a:ext cx="1781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10</xdr:row>
      <xdr:rowOff>28575</xdr:rowOff>
    </xdr:from>
    <xdr:to>
      <xdr:col>1</xdr:col>
      <xdr:colOff>2438400</xdr:colOff>
      <xdr:row>10</xdr:row>
      <xdr:rowOff>1019175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6143625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11</xdr:row>
      <xdr:rowOff>38100</xdr:rowOff>
    </xdr:from>
    <xdr:to>
      <xdr:col>1</xdr:col>
      <xdr:colOff>2543175</xdr:colOff>
      <xdr:row>11</xdr:row>
      <xdr:rowOff>904875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7210425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12</xdr:row>
      <xdr:rowOff>104775</xdr:rowOff>
    </xdr:from>
    <xdr:to>
      <xdr:col>1</xdr:col>
      <xdr:colOff>2895600</xdr:colOff>
      <xdr:row>13</xdr:row>
      <xdr:rowOff>476250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0025" y="8201025"/>
          <a:ext cx="1895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876300</xdr:rowOff>
    </xdr:from>
    <xdr:to>
      <xdr:col>1</xdr:col>
      <xdr:colOff>1228725</xdr:colOff>
      <xdr:row>0</xdr:row>
      <xdr:rowOff>1038225</xdr:rowOff>
    </xdr:to>
    <xdr:sp>
      <xdr:nvSpPr>
        <xdr:cNvPr id="7" name="Rectangle 13"/>
        <xdr:cNvSpPr>
          <a:spLocks/>
        </xdr:cNvSpPr>
      </xdr:nvSpPr>
      <xdr:spPr>
        <a:xfrm>
          <a:off x="1590675" y="876300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 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809625</xdr:rowOff>
    </xdr:from>
    <xdr:to>
      <xdr:col>0</xdr:col>
      <xdr:colOff>2505075</xdr:colOff>
      <xdr:row>0</xdr:row>
      <xdr:rowOff>1095375</xdr:rowOff>
    </xdr:to>
    <xdr:sp>
      <xdr:nvSpPr>
        <xdr:cNvPr id="8" name="Rectangle 14">
          <a:hlinkClick r:id="rId7"/>
        </xdr:cNvPr>
        <xdr:cNvSpPr>
          <a:spLocks/>
        </xdr:cNvSpPr>
      </xdr:nvSpPr>
      <xdr:spPr>
        <a:xfrm>
          <a:off x="0" y="809625"/>
          <a:ext cx="2505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895350</xdr:colOff>
      <xdr:row>0</xdr:row>
      <xdr:rowOff>857250</xdr:rowOff>
    </xdr:from>
    <xdr:to>
      <xdr:col>2</xdr:col>
      <xdr:colOff>180975</xdr:colOff>
      <xdr:row>0</xdr:row>
      <xdr:rowOff>1028700</xdr:rowOff>
    </xdr:to>
    <xdr:sp>
      <xdr:nvSpPr>
        <xdr:cNvPr id="9" name="Rectangle 55">
          <a:hlinkClick r:id="rId8"/>
        </xdr:cNvPr>
        <xdr:cNvSpPr>
          <a:spLocks/>
        </xdr:cNvSpPr>
      </xdr:nvSpPr>
      <xdr:spPr>
        <a:xfrm>
          <a:off x="3905250" y="857250"/>
          <a:ext cx="2790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15</xdr:row>
      <xdr:rowOff>19050</xdr:rowOff>
    </xdr:from>
    <xdr:to>
      <xdr:col>1</xdr:col>
      <xdr:colOff>3467100</xdr:colOff>
      <xdr:row>15</xdr:row>
      <xdr:rowOff>152400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324975"/>
          <a:ext cx="6477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800100</xdr:rowOff>
    </xdr:to>
    <xdr:pic>
      <xdr:nvPicPr>
        <xdr:cNvPr id="11" name="Picture 73" descr="Plastics-DOM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500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10</xdr:row>
      <xdr:rowOff>9525</xdr:rowOff>
    </xdr:from>
    <xdr:to>
      <xdr:col>2</xdr:col>
      <xdr:colOff>438150</xdr:colOff>
      <xdr:row>11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79070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11</xdr:row>
      <xdr:rowOff>0</xdr:rowOff>
    </xdr:from>
    <xdr:to>
      <xdr:col>2</xdr:col>
      <xdr:colOff>457200</xdr:colOff>
      <xdr:row>12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431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12</xdr:row>
      <xdr:rowOff>0</xdr:rowOff>
    </xdr:from>
    <xdr:to>
      <xdr:col>2</xdr:col>
      <xdr:colOff>457200</xdr:colOff>
      <xdr:row>13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105025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457200</xdr:colOff>
      <xdr:row>14</xdr:row>
      <xdr:rowOff>76200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26695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0</xdr:rowOff>
    </xdr:from>
    <xdr:to>
      <xdr:col>2</xdr:col>
      <xdr:colOff>457200</xdr:colOff>
      <xdr:row>15</xdr:row>
      <xdr:rowOff>66675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4288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15</xdr:row>
      <xdr:rowOff>0</xdr:rowOff>
    </xdr:from>
    <xdr:to>
      <xdr:col>2</xdr:col>
      <xdr:colOff>457200</xdr:colOff>
      <xdr:row>16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59080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17</xdr:row>
      <xdr:rowOff>9525</xdr:rowOff>
    </xdr:from>
    <xdr:to>
      <xdr:col>2</xdr:col>
      <xdr:colOff>466725</xdr:colOff>
      <xdr:row>18</xdr:row>
      <xdr:rowOff>85725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9527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18</xdr:row>
      <xdr:rowOff>9525</xdr:rowOff>
    </xdr:from>
    <xdr:to>
      <xdr:col>2</xdr:col>
      <xdr:colOff>466725</xdr:colOff>
      <xdr:row>19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1146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9525</xdr:rowOff>
    </xdr:from>
    <xdr:to>
      <xdr:col>2</xdr:col>
      <xdr:colOff>466725</xdr:colOff>
      <xdr:row>20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2766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20</xdr:row>
      <xdr:rowOff>9525</xdr:rowOff>
    </xdr:from>
    <xdr:to>
      <xdr:col>2</xdr:col>
      <xdr:colOff>466725</xdr:colOff>
      <xdr:row>21</xdr:row>
      <xdr:rowOff>85725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4385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9525</xdr:rowOff>
    </xdr:from>
    <xdr:to>
      <xdr:col>2</xdr:col>
      <xdr:colOff>466725</xdr:colOff>
      <xdr:row>22</xdr:row>
      <xdr:rowOff>85725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6004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24</xdr:row>
      <xdr:rowOff>9525</xdr:rowOff>
    </xdr:from>
    <xdr:to>
      <xdr:col>2</xdr:col>
      <xdr:colOff>466725</xdr:colOff>
      <xdr:row>25</xdr:row>
      <xdr:rowOff>85725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40862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22</xdr:row>
      <xdr:rowOff>85725</xdr:rowOff>
    </xdr:from>
    <xdr:to>
      <xdr:col>2</xdr:col>
      <xdr:colOff>476250</xdr:colOff>
      <xdr:row>24</xdr:row>
      <xdr:rowOff>57150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3838575"/>
          <a:ext cx="20955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9525</xdr:rowOff>
    </xdr:from>
    <xdr:to>
      <xdr:col>2</xdr:col>
      <xdr:colOff>466725</xdr:colOff>
      <xdr:row>27</xdr:row>
      <xdr:rowOff>85725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44100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38100</xdr:rowOff>
    </xdr:from>
    <xdr:to>
      <xdr:col>3</xdr:col>
      <xdr:colOff>419100</xdr:colOff>
      <xdr:row>23</xdr:row>
      <xdr:rowOff>85725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379095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25</xdr:row>
      <xdr:rowOff>38100</xdr:rowOff>
    </xdr:from>
    <xdr:to>
      <xdr:col>3</xdr:col>
      <xdr:colOff>419100</xdr:colOff>
      <xdr:row>26</xdr:row>
      <xdr:rowOff>85725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42767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27</xdr:row>
      <xdr:rowOff>0</xdr:rowOff>
    </xdr:from>
    <xdr:to>
      <xdr:col>3</xdr:col>
      <xdr:colOff>409575</xdr:colOff>
      <xdr:row>27</xdr:row>
      <xdr:rowOff>152400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4562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28</xdr:row>
      <xdr:rowOff>9525</xdr:rowOff>
    </xdr:from>
    <xdr:to>
      <xdr:col>3</xdr:col>
      <xdr:colOff>419100</xdr:colOff>
      <xdr:row>29</xdr:row>
      <xdr:rowOff>57150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47339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29</xdr:row>
      <xdr:rowOff>9525</xdr:rowOff>
    </xdr:from>
    <xdr:to>
      <xdr:col>3</xdr:col>
      <xdr:colOff>419100</xdr:colOff>
      <xdr:row>30</xdr:row>
      <xdr:rowOff>57150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489585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12</xdr:row>
      <xdr:rowOff>9525</xdr:rowOff>
    </xdr:from>
    <xdr:to>
      <xdr:col>4</xdr:col>
      <xdr:colOff>390525</xdr:colOff>
      <xdr:row>13</xdr:row>
      <xdr:rowOff>76200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211455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19050</xdr:rowOff>
    </xdr:from>
    <xdr:to>
      <xdr:col>4</xdr:col>
      <xdr:colOff>419100</xdr:colOff>
      <xdr:row>18</xdr:row>
      <xdr:rowOff>85725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9622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19</xdr:row>
      <xdr:rowOff>19050</xdr:rowOff>
    </xdr:from>
    <xdr:to>
      <xdr:col>4</xdr:col>
      <xdr:colOff>419100</xdr:colOff>
      <xdr:row>20</xdr:row>
      <xdr:rowOff>85725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32861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21</xdr:row>
      <xdr:rowOff>19050</xdr:rowOff>
    </xdr:from>
    <xdr:to>
      <xdr:col>4</xdr:col>
      <xdr:colOff>419100</xdr:colOff>
      <xdr:row>22</xdr:row>
      <xdr:rowOff>85725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36099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18</xdr:row>
      <xdr:rowOff>19050</xdr:rowOff>
    </xdr:from>
    <xdr:to>
      <xdr:col>4</xdr:col>
      <xdr:colOff>419100</xdr:colOff>
      <xdr:row>19</xdr:row>
      <xdr:rowOff>85725</xdr:rowOff>
    </xdr:to>
    <xdr:pic>
      <xdr:nvPicPr>
        <xdr:cNvPr id="24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31242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20</xdr:row>
      <xdr:rowOff>19050</xdr:rowOff>
    </xdr:from>
    <xdr:to>
      <xdr:col>4</xdr:col>
      <xdr:colOff>419100</xdr:colOff>
      <xdr:row>21</xdr:row>
      <xdr:rowOff>85725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34480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37</xdr:row>
      <xdr:rowOff>9525</xdr:rowOff>
    </xdr:from>
    <xdr:to>
      <xdr:col>2</xdr:col>
      <xdr:colOff>438150</xdr:colOff>
      <xdr:row>38</xdr:row>
      <xdr:rowOff>76200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286500"/>
          <a:ext cx="1905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38</xdr:row>
      <xdr:rowOff>0</xdr:rowOff>
    </xdr:from>
    <xdr:to>
      <xdr:col>2</xdr:col>
      <xdr:colOff>457200</xdr:colOff>
      <xdr:row>39</xdr:row>
      <xdr:rowOff>66675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4389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39</xdr:row>
      <xdr:rowOff>0</xdr:rowOff>
    </xdr:from>
    <xdr:to>
      <xdr:col>2</xdr:col>
      <xdr:colOff>457200</xdr:colOff>
      <xdr:row>40</xdr:row>
      <xdr:rowOff>76200</xdr:rowOff>
    </xdr:to>
    <xdr:pic>
      <xdr:nvPicPr>
        <xdr:cNvPr id="2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6600825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40</xdr:row>
      <xdr:rowOff>0</xdr:rowOff>
    </xdr:from>
    <xdr:to>
      <xdr:col>2</xdr:col>
      <xdr:colOff>457200</xdr:colOff>
      <xdr:row>41</xdr:row>
      <xdr:rowOff>76200</xdr:rowOff>
    </xdr:to>
    <xdr:pic>
      <xdr:nvPicPr>
        <xdr:cNvPr id="2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676275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41</xdr:row>
      <xdr:rowOff>0</xdr:rowOff>
    </xdr:from>
    <xdr:to>
      <xdr:col>2</xdr:col>
      <xdr:colOff>457200</xdr:colOff>
      <xdr:row>42</xdr:row>
      <xdr:rowOff>66675</xdr:rowOff>
    </xdr:to>
    <xdr:pic>
      <xdr:nvPicPr>
        <xdr:cNvPr id="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9246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0</xdr:rowOff>
    </xdr:from>
    <xdr:to>
      <xdr:col>2</xdr:col>
      <xdr:colOff>457200</xdr:colOff>
      <xdr:row>43</xdr:row>
      <xdr:rowOff>76200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7086600"/>
          <a:ext cx="190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43</xdr:row>
      <xdr:rowOff>9525</xdr:rowOff>
    </xdr:from>
    <xdr:to>
      <xdr:col>2</xdr:col>
      <xdr:colOff>466725</xdr:colOff>
      <xdr:row>44</xdr:row>
      <xdr:rowOff>142875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258050"/>
          <a:ext cx="1809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44</xdr:row>
      <xdr:rowOff>9525</xdr:rowOff>
    </xdr:from>
    <xdr:to>
      <xdr:col>2</xdr:col>
      <xdr:colOff>466725</xdr:colOff>
      <xdr:row>45</xdr:row>
      <xdr:rowOff>85725</xdr:rowOff>
    </xdr:to>
    <xdr:pic>
      <xdr:nvPicPr>
        <xdr:cNvPr id="3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4485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45</xdr:row>
      <xdr:rowOff>9525</xdr:rowOff>
    </xdr:from>
    <xdr:to>
      <xdr:col>2</xdr:col>
      <xdr:colOff>466725</xdr:colOff>
      <xdr:row>46</xdr:row>
      <xdr:rowOff>85725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6104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46</xdr:row>
      <xdr:rowOff>9525</xdr:rowOff>
    </xdr:from>
    <xdr:to>
      <xdr:col>2</xdr:col>
      <xdr:colOff>466725</xdr:colOff>
      <xdr:row>47</xdr:row>
      <xdr:rowOff>85725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77240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47</xdr:row>
      <xdr:rowOff>9525</xdr:rowOff>
    </xdr:from>
    <xdr:to>
      <xdr:col>2</xdr:col>
      <xdr:colOff>466725</xdr:colOff>
      <xdr:row>48</xdr:row>
      <xdr:rowOff>85725</xdr:rowOff>
    </xdr:to>
    <xdr:pic>
      <xdr:nvPicPr>
        <xdr:cNvPr id="3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9343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48</xdr:row>
      <xdr:rowOff>9525</xdr:rowOff>
    </xdr:from>
    <xdr:to>
      <xdr:col>2</xdr:col>
      <xdr:colOff>466725</xdr:colOff>
      <xdr:row>49</xdr:row>
      <xdr:rowOff>85725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80962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51</xdr:row>
      <xdr:rowOff>9525</xdr:rowOff>
    </xdr:from>
    <xdr:to>
      <xdr:col>2</xdr:col>
      <xdr:colOff>466725</xdr:colOff>
      <xdr:row>52</xdr:row>
      <xdr:rowOff>85725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85820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50</xdr:row>
      <xdr:rowOff>9525</xdr:rowOff>
    </xdr:from>
    <xdr:to>
      <xdr:col>2</xdr:col>
      <xdr:colOff>476250</xdr:colOff>
      <xdr:row>51</xdr:row>
      <xdr:rowOff>104775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8420100"/>
          <a:ext cx="2190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53</xdr:row>
      <xdr:rowOff>9525</xdr:rowOff>
    </xdr:from>
    <xdr:to>
      <xdr:col>2</xdr:col>
      <xdr:colOff>466725</xdr:colOff>
      <xdr:row>54</xdr:row>
      <xdr:rowOff>85725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890587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49</xdr:row>
      <xdr:rowOff>38100</xdr:rowOff>
    </xdr:from>
    <xdr:to>
      <xdr:col>3</xdr:col>
      <xdr:colOff>419100</xdr:colOff>
      <xdr:row>50</xdr:row>
      <xdr:rowOff>85725</xdr:rowOff>
    </xdr:to>
    <xdr:pic>
      <xdr:nvPicPr>
        <xdr:cNvPr id="4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28675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38100</xdr:rowOff>
    </xdr:from>
    <xdr:to>
      <xdr:col>3</xdr:col>
      <xdr:colOff>419100</xdr:colOff>
      <xdr:row>53</xdr:row>
      <xdr:rowOff>85725</xdr:rowOff>
    </xdr:to>
    <xdr:pic>
      <xdr:nvPicPr>
        <xdr:cNvPr id="4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7725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54</xdr:row>
      <xdr:rowOff>38100</xdr:rowOff>
    </xdr:from>
    <xdr:to>
      <xdr:col>3</xdr:col>
      <xdr:colOff>419100</xdr:colOff>
      <xdr:row>55</xdr:row>
      <xdr:rowOff>85725</xdr:rowOff>
    </xdr:to>
    <xdr:pic>
      <xdr:nvPicPr>
        <xdr:cNvPr id="43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909637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55</xdr:row>
      <xdr:rowOff>38100</xdr:rowOff>
    </xdr:from>
    <xdr:to>
      <xdr:col>3</xdr:col>
      <xdr:colOff>419100</xdr:colOff>
      <xdr:row>56</xdr:row>
      <xdr:rowOff>85725</xdr:rowOff>
    </xdr:to>
    <xdr:pic>
      <xdr:nvPicPr>
        <xdr:cNvPr id="4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9258300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56</xdr:row>
      <xdr:rowOff>38100</xdr:rowOff>
    </xdr:from>
    <xdr:to>
      <xdr:col>3</xdr:col>
      <xdr:colOff>419100</xdr:colOff>
      <xdr:row>57</xdr:row>
      <xdr:rowOff>85725</xdr:rowOff>
    </xdr:to>
    <xdr:pic>
      <xdr:nvPicPr>
        <xdr:cNvPr id="4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9420225"/>
          <a:ext cx="171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19050</xdr:rowOff>
    </xdr:from>
    <xdr:to>
      <xdr:col>4</xdr:col>
      <xdr:colOff>419100</xdr:colOff>
      <xdr:row>40</xdr:row>
      <xdr:rowOff>85725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6198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44</xdr:row>
      <xdr:rowOff>19050</xdr:rowOff>
    </xdr:from>
    <xdr:to>
      <xdr:col>4</xdr:col>
      <xdr:colOff>419100</xdr:colOff>
      <xdr:row>45</xdr:row>
      <xdr:rowOff>85725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74580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46</xdr:row>
      <xdr:rowOff>19050</xdr:rowOff>
    </xdr:from>
    <xdr:to>
      <xdr:col>4</xdr:col>
      <xdr:colOff>419100</xdr:colOff>
      <xdr:row>47</xdr:row>
      <xdr:rowOff>85725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778192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48</xdr:row>
      <xdr:rowOff>19050</xdr:rowOff>
    </xdr:from>
    <xdr:to>
      <xdr:col>4</xdr:col>
      <xdr:colOff>419100</xdr:colOff>
      <xdr:row>49</xdr:row>
      <xdr:rowOff>85725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8105775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45</xdr:row>
      <xdr:rowOff>19050</xdr:rowOff>
    </xdr:from>
    <xdr:to>
      <xdr:col>4</xdr:col>
      <xdr:colOff>419100</xdr:colOff>
      <xdr:row>46</xdr:row>
      <xdr:rowOff>85725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762000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19050</xdr:rowOff>
    </xdr:from>
    <xdr:to>
      <xdr:col>4</xdr:col>
      <xdr:colOff>419100</xdr:colOff>
      <xdr:row>48</xdr:row>
      <xdr:rowOff>85725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7943850"/>
          <a:ext cx="2000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59</xdr:row>
      <xdr:rowOff>0</xdr:rowOff>
    </xdr:from>
    <xdr:to>
      <xdr:col>0</xdr:col>
      <xdr:colOff>457200</xdr:colOff>
      <xdr:row>60</xdr:row>
      <xdr:rowOff>19050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867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59</xdr:row>
      <xdr:rowOff>9525</xdr:rowOff>
    </xdr:from>
    <xdr:to>
      <xdr:col>2</xdr:col>
      <xdr:colOff>114300</xdr:colOff>
      <xdr:row>59</xdr:row>
      <xdr:rowOff>161925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8774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59</xdr:row>
      <xdr:rowOff>0</xdr:rowOff>
    </xdr:from>
    <xdr:to>
      <xdr:col>2</xdr:col>
      <xdr:colOff>409575</xdr:colOff>
      <xdr:row>60</xdr:row>
      <xdr:rowOff>0</xdr:rowOff>
    </xdr:to>
    <xdr:pic>
      <xdr:nvPicPr>
        <xdr:cNvPr id="54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9867900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59</xdr:row>
      <xdr:rowOff>9525</xdr:rowOff>
    </xdr:from>
    <xdr:to>
      <xdr:col>3</xdr:col>
      <xdr:colOff>419100</xdr:colOff>
      <xdr:row>59</xdr:row>
      <xdr:rowOff>161925</xdr:rowOff>
    </xdr:to>
    <xdr:pic>
      <xdr:nvPicPr>
        <xdr:cNvPr id="55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98774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62</xdr:row>
      <xdr:rowOff>0</xdr:rowOff>
    </xdr:from>
    <xdr:to>
      <xdr:col>0</xdr:col>
      <xdr:colOff>438150</xdr:colOff>
      <xdr:row>62</xdr:row>
      <xdr:rowOff>142875</xdr:rowOff>
    </xdr:to>
    <xdr:pic>
      <xdr:nvPicPr>
        <xdr:cNvPr id="56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103536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57" name="Rectangle 12">
          <a:hlinkClick r:id="rId8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5</xdr:row>
      <xdr:rowOff>38100</xdr:rowOff>
    </xdr:to>
    <xdr:pic>
      <xdr:nvPicPr>
        <xdr:cNvPr id="58" name="Picture 41" descr="Plastics-DOM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521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9525</xdr:rowOff>
    </xdr:from>
    <xdr:to>
      <xdr:col>2</xdr:col>
      <xdr:colOff>466725</xdr:colOff>
      <xdr:row>17</xdr:row>
      <xdr:rowOff>85725</xdr:rowOff>
    </xdr:to>
    <xdr:pic>
      <xdr:nvPicPr>
        <xdr:cNvPr id="5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762250"/>
          <a:ext cx="1809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</xdr:row>
      <xdr:rowOff>152400</xdr:rowOff>
    </xdr:from>
    <xdr:to>
      <xdr:col>4</xdr:col>
      <xdr:colOff>419100</xdr:colOff>
      <xdr:row>10</xdr:row>
      <xdr:rowOff>0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1581150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152400</xdr:rowOff>
    </xdr:from>
    <xdr:to>
      <xdr:col>2</xdr:col>
      <xdr:colOff>438150</xdr:colOff>
      <xdr:row>10</xdr:row>
      <xdr:rowOff>9525</xdr:rowOff>
    </xdr:to>
    <xdr:pic>
      <xdr:nvPicPr>
        <xdr:cNvPr id="6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581150"/>
          <a:ext cx="1809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36</xdr:row>
      <xdr:rowOff>0</xdr:rowOff>
    </xdr:from>
    <xdr:to>
      <xdr:col>2</xdr:col>
      <xdr:colOff>457200</xdr:colOff>
      <xdr:row>37</xdr:row>
      <xdr:rowOff>76200</xdr:rowOff>
    </xdr:to>
    <xdr:pic>
      <xdr:nvPicPr>
        <xdr:cNvPr id="6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6086475"/>
          <a:ext cx="1905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19050</xdr:rowOff>
    </xdr:from>
    <xdr:to>
      <xdr:col>4</xdr:col>
      <xdr:colOff>419100</xdr:colOff>
      <xdr:row>37</xdr:row>
      <xdr:rowOff>85725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6105525"/>
          <a:ext cx="2000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117</xdr:row>
      <xdr:rowOff>142875</xdr:rowOff>
    </xdr:from>
    <xdr:to>
      <xdr:col>5</xdr:col>
      <xdr:colOff>581025</xdr:colOff>
      <xdr:row>117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8575" y="23364825"/>
          <a:ext cx="6572250" cy="0"/>
        </a:xfrm>
        <a:prstGeom prst="line">
          <a:avLst/>
        </a:prstGeom>
        <a:noFill/>
        <a:ln w="2556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85725</xdr:rowOff>
    </xdr:from>
    <xdr:to>
      <xdr:col>10</xdr:col>
      <xdr:colOff>457200</xdr:colOff>
      <xdr:row>6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514475"/>
          <a:ext cx="2305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1895475</xdr:colOff>
      <xdr:row>0</xdr:row>
      <xdr:rowOff>1152525</xdr:rowOff>
    </xdr:from>
    <xdr:to>
      <xdr:col>4</xdr:col>
      <xdr:colOff>619125</xdr:colOff>
      <xdr:row>0</xdr:row>
      <xdr:rowOff>1314450</xdr:rowOff>
    </xdr:to>
    <xdr:sp>
      <xdr:nvSpPr>
        <xdr:cNvPr id="3" name="Rectangle 13"/>
        <xdr:cNvSpPr>
          <a:spLocks/>
        </xdr:cNvSpPr>
      </xdr:nvSpPr>
      <xdr:spPr>
        <a:xfrm>
          <a:off x="3352800" y="115252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1085850</xdr:rowOff>
    </xdr:from>
    <xdr:to>
      <xdr:col>1</xdr:col>
      <xdr:colOff>1028700</xdr:colOff>
      <xdr:row>0</xdr:row>
      <xdr:rowOff>1371600</xdr:rowOff>
    </xdr:to>
    <xdr:sp>
      <xdr:nvSpPr>
        <xdr:cNvPr id="4" name="Rectangle 14">
          <a:hlinkClick r:id="rId2"/>
        </xdr:cNvPr>
        <xdr:cNvSpPr>
          <a:spLocks/>
        </xdr:cNvSpPr>
      </xdr:nvSpPr>
      <xdr:spPr>
        <a:xfrm>
          <a:off x="0" y="1085850"/>
          <a:ext cx="2486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6</xdr:col>
      <xdr:colOff>504825</xdr:colOff>
      <xdr:row>0</xdr:row>
      <xdr:rowOff>1133475</xdr:rowOff>
    </xdr:from>
    <xdr:to>
      <xdr:col>10</xdr:col>
      <xdr:colOff>619125</xdr:colOff>
      <xdr:row>0</xdr:row>
      <xdr:rowOff>1295400</xdr:rowOff>
    </xdr:to>
    <xdr:sp>
      <xdr:nvSpPr>
        <xdr:cNvPr id="5" name="Rectangle 55">
          <a:hlinkClick r:id="rId3"/>
        </xdr:cNvPr>
        <xdr:cNvSpPr>
          <a:spLocks/>
        </xdr:cNvSpPr>
      </xdr:nvSpPr>
      <xdr:spPr>
        <a:xfrm>
          <a:off x="7181850" y="1133475"/>
          <a:ext cx="2743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62</xdr:row>
      <xdr:rowOff>123825</xdr:rowOff>
    </xdr:from>
    <xdr:to>
      <xdr:col>10</xdr:col>
      <xdr:colOff>647700</xdr:colOff>
      <xdr:row>64</xdr:row>
      <xdr:rowOff>9525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382750"/>
          <a:ext cx="9953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0</xdr:row>
      <xdr:rowOff>895350</xdr:rowOff>
    </xdr:to>
    <xdr:pic>
      <xdr:nvPicPr>
        <xdr:cNvPr id="7" name="Picture 41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61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800100</xdr:rowOff>
    </xdr:from>
    <xdr:to>
      <xdr:col>3</xdr:col>
      <xdr:colOff>266700</xdr:colOff>
      <xdr:row>0</xdr:row>
      <xdr:rowOff>952500</xdr:rowOff>
    </xdr:to>
    <xdr:sp>
      <xdr:nvSpPr>
        <xdr:cNvPr id="1" name="Rectangle 13"/>
        <xdr:cNvSpPr>
          <a:spLocks/>
        </xdr:cNvSpPr>
      </xdr:nvSpPr>
      <xdr:spPr>
        <a:xfrm>
          <a:off x="1743075" y="800100"/>
          <a:ext cx="2571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733425</xdr:rowOff>
    </xdr:from>
    <xdr:to>
      <xdr:col>1</xdr:col>
      <xdr:colOff>1181100</xdr:colOff>
      <xdr:row>0</xdr:row>
      <xdr:rowOff>1009650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33425"/>
          <a:ext cx="2590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9525</xdr:colOff>
      <xdr:row>0</xdr:row>
      <xdr:rowOff>790575</xdr:rowOff>
    </xdr:from>
    <xdr:to>
      <xdr:col>4</xdr:col>
      <xdr:colOff>1323975</xdr:colOff>
      <xdr:row>0</xdr:row>
      <xdr:rowOff>962025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057650" y="790575"/>
          <a:ext cx="2657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4</xdr:col>
      <xdr:colOff>47625</xdr:colOff>
      <xdr:row>1</xdr:row>
      <xdr:rowOff>304800</xdr:rowOff>
    </xdr:from>
    <xdr:to>
      <xdr:col>4</xdr:col>
      <xdr:colOff>1304925</xdr:colOff>
      <xdr:row>3</xdr:row>
      <xdr:rowOff>142875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400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0</xdr:rowOff>
    </xdr:to>
    <xdr:pic>
      <xdr:nvPicPr>
        <xdr:cNvPr id="5" name="Picture 41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886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800100</xdr:rowOff>
    </xdr:from>
    <xdr:to>
      <xdr:col>3</xdr:col>
      <xdr:colOff>266700</xdr:colOff>
      <xdr:row>0</xdr:row>
      <xdr:rowOff>952500</xdr:rowOff>
    </xdr:to>
    <xdr:sp>
      <xdr:nvSpPr>
        <xdr:cNvPr id="1" name="Rectangle 13"/>
        <xdr:cNvSpPr>
          <a:spLocks/>
        </xdr:cNvSpPr>
      </xdr:nvSpPr>
      <xdr:spPr>
        <a:xfrm>
          <a:off x="1743075" y="800100"/>
          <a:ext cx="2571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733425</xdr:rowOff>
    </xdr:from>
    <xdr:to>
      <xdr:col>1</xdr:col>
      <xdr:colOff>1181100</xdr:colOff>
      <xdr:row>0</xdr:row>
      <xdr:rowOff>1009650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33425"/>
          <a:ext cx="2590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95250</xdr:colOff>
      <xdr:row>0</xdr:row>
      <xdr:rowOff>790575</xdr:rowOff>
    </xdr:from>
    <xdr:to>
      <xdr:col>4</xdr:col>
      <xdr:colOff>1323975</xdr:colOff>
      <xdr:row>0</xdr:row>
      <xdr:rowOff>962025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143375" y="790575"/>
          <a:ext cx="2571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33</xdr:row>
      <xdr:rowOff>66675</xdr:rowOff>
    </xdr:from>
    <xdr:to>
      <xdr:col>5</xdr:col>
      <xdr:colOff>9525</xdr:colOff>
      <xdr:row>34</xdr:row>
      <xdr:rowOff>85725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734175"/>
          <a:ext cx="6743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390525</xdr:rowOff>
    </xdr:from>
    <xdr:to>
      <xdr:col>4</xdr:col>
      <xdr:colOff>1076325</xdr:colOff>
      <xdr:row>3</xdr:row>
      <xdr:rowOff>19050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1485900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0</xdr:row>
      <xdr:rowOff>752475</xdr:rowOff>
    </xdr:to>
    <xdr:pic>
      <xdr:nvPicPr>
        <xdr:cNvPr id="6" name="Picture 21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84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</xdr:row>
      <xdr:rowOff>219075</xdr:rowOff>
    </xdr:from>
    <xdr:to>
      <xdr:col>7</xdr:col>
      <xdr:colOff>38100</xdr:colOff>
      <xdr:row>3</xdr:row>
      <xdr:rowOff>209550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476375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771525</xdr:rowOff>
    </xdr:from>
    <xdr:to>
      <xdr:col>6</xdr:col>
      <xdr:colOff>28575</xdr:colOff>
      <xdr:row>0</xdr:row>
      <xdr:rowOff>914400</xdr:rowOff>
    </xdr:to>
    <xdr:sp>
      <xdr:nvSpPr>
        <xdr:cNvPr id="2" name="Rectangle 13"/>
        <xdr:cNvSpPr>
          <a:spLocks/>
        </xdr:cNvSpPr>
      </xdr:nvSpPr>
      <xdr:spPr>
        <a:xfrm>
          <a:off x="3048000" y="771525"/>
          <a:ext cx="2657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3</xdr:col>
      <xdr:colOff>533400</xdr:colOff>
      <xdr:row>0</xdr:row>
      <xdr:rowOff>962025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742950"/>
          <a:ext cx="406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28</xdr:row>
      <xdr:rowOff>85725</xdr:rowOff>
    </xdr:from>
    <xdr:to>
      <xdr:col>7</xdr:col>
      <xdr:colOff>600075</xdr:colOff>
      <xdr:row>28</xdr:row>
      <xdr:rowOff>228600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210425"/>
          <a:ext cx="6924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0</xdr:row>
      <xdr:rowOff>742950</xdr:rowOff>
    </xdr:to>
    <xdr:pic>
      <xdr:nvPicPr>
        <xdr:cNvPr id="5" name="Picture 21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97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152400</xdr:rowOff>
    </xdr:from>
    <xdr:to>
      <xdr:col>9</xdr:col>
      <xdr:colOff>762000</xdr:colOff>
      <xdr:row>5</xdr:row>
      <xdr:rowOff>342900</xdr:rowOff>
    </xdr:to>
    <xdr:sp>
      <xdr:nvSpPr>
        <xdr:cNvPr id="1" name="Rectangle 55">
          <a:hlinkClick r:id="rId1"/>
        </xdr:cNvPr>
        <xdr:cNvSpPr>
          <a:spLocks/>
        </xdr:cNvSpPr>
      </xdr:nvSpPr>
      <xdr:spPr>
        <a:xfrm>
          <a:off x="6153150" y="962025"/>
          <a:ext cx="2752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5</xdr:row>
      <xdr:rowOff>104775</xdr:rowOff>
    </xdr:from>
    <xdr:to>
      <xdr:col>2</xdr:col>
      <xdr:colOff>323850</xdr:colOff>
      <xdr:row>5</xdr:row>
      <xdr:rowOff>333375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914400"/>
          <a:ext cx="2486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885825</xdr:colOff>
      <xdr:row>5</xdr:row>
      <xdr:rowOff>161925</xdr:rowOff>
    </xdr:from>
    <xdr:to>
      <xdr:col>5</xdr:col>
      <xdr:colOff>762000</xdr:colOff>
      <xdr:row>5</xdr:row>
      <xdr:rowOff>323850</xdr:rowOff>
    </xdr:to>
    <xdr:sp>
      <xdr:nvSpPr>
        <xdr:cNvPr id="3" name="Rectangle 13"/>
        <xdr:cNvSpPr>
          <a:spLocks/>
        </xdr:cNvSpPr>
      </xdr:nvSpPr>
      <xdr:spPr>
        <a:xfrm>
          <a:off x="3048000" y="971550"/>
          <a:ext cx="2600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 editAs="oneCell">
    <xdr:from>
      <xdr:col>0</xdr:col>
      <xdr:colOff>0</xdr:colOff>
      <xdr:row>49</xdr:row>
      <xdr:rowOff>152400</xdr:rowOff>
    </xdr:from>
    <xdr:to>
      <xdr:col>12</xdr:col>
      <xdr:colOff>0</xdr:colOff>
      <xdr:row>51</xdr:row>
      <xdr:rowOff>9525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20800"/>
          <a:ext cx="10534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123825</xdr:rowOff>
    </xdr:to>
    <xdr:pic>
      <xdr:nvPicPr>
        <xdr:cNvPr id="5" name="Picture 21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971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4</xdr:row>
      <xdr:rowOff>66675</xdr:rowOff>
    </xdr:to>
    <xdr:pic>
      <xdr:nvPicPr>
        <xdr:cNvPr id="1" name="Picture 21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1076325</xdr:colOff>
      <xdr:row>4</xdr:row>
      <xdr:rowOff>114300</xdr:rowOff>
    </xdr:to>
    <xdr:pic>
      <xdr:nvPicPr>
        <xdr:cNvPr id="1" name="Picture 21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485775</xdr:colOff>
      <xdr:row>4</xdr:row>
      <xdr:rowOff>66675</xdr:rowOff>
    </xdr:to>
    <xdr:pic>
      <xdr:nvPicPr>
        <xdr:cNvPr id="1" name="Picture 41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6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19050</xdr:rowOff>
    </xdr:from>
    <xdr:to>
      <xdr:col>1</xdr:col>
      <xdr:colOff>428625</xdr:colOff>
      <xdr:row>6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28675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371475</xdr:colOff>
      <xdr:row>5</xdr:row>
      <xdr:rowOff>38100</xdr:rowOff>
    </xdr:to>
    <xdr:pic>
      <xdr:nvPicPr>
        <xdr:cNvPr id="1" name="Picture 2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72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7</xdr:row>
      <xdr:rowOff>114300</xdr:rowOff>
    </xdr:from>
    <xdr:to>
      <xdr:col>3</xdr:col>
      <xdr:colOff>685800</xdr:colOff>
      <xdr:row>7</xdr:row>
      <xdr:rowOff>285750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247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</xdr:row>
      <xdr:rowOff>142875</xdr:rowOff>
    </xdr:from>
    <xdr:to>
      <xdr:col>5</xdr:col>
      <xdr:colOff>180975</xdr:colOff>
      <xdr:row>8</xdr:row>
      <xdr:rowOff>85725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14425"/>
          <a:ext cx="1504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4</xdr:row>
      <xdr:rowOff>104775</xdr:rowOff>
    </xdr:to>
    <xdr:pic>
      <xdr:nvPicPr>
        <xdr:cNvPr id="1" name="Picture 41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2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47625</xdr:rowOff>
    </xdr:from>
    <xdr:to>
      <xdr:col>6</xdr:col>
      <xdr:colOff>838200</xdr:colOff>
      <xdr:row>5</xdr:row>
      <xdr:rowOff>9525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95825" y="1476375"/>
          <a:ext cx="1714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866775</xdr:rowOff>
    </xdr:from>
    <xdr:to>
      <xdr:col>4</xdr:col>
      <xdr:colOff>371475</xdr:colOff>
      <xdr:row>0</xdr:row>
      <xdr:rowOff>1028700</xdr:rowOff>
    </xdr:to>
    <xdr:sp>
      <xdr:nvSpPr>
        <xdr:cNvPr id="2" name="Rectangle 13"/>
        <xdr:cNvSpPr>
          <a:spLocks/>
        </xdr:cNvSpPr>
      </xdr:nvSpPr>
      <xdr:spPr>
        <a:xfrm>
          <a:off x="1581150" y="8667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800100</xdr:rowOff>
    </xdr:from>
    <xdr:to>
      <xdr:col>2</xdr:col>
      <xdr:colOff>647700</xdr:colOff>
      <xdr:row>0</xdr:row>
      <xdr:rowOff>1095375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800100"/>
          <a:ext cx="2486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38100</xdr:colOff>
      <xdr:row>0</xdr:row>
      <xdr:rowOff>847725</xdr:rowOff>
    </xdr:from>
    <xdr:to>
      <xdr:col>7</xdr:col>
      <xdr:colOff>161925</xdr:colOff>
      <xdr:row>0</xdr:row>
      <xdr:rowOff>1028700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3895725" y="847725"/>
          <a:ext cx="2724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28575</xdr:colOff>
      <xdr:row>69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439775"/>
          <a:ext cx="6486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0</xdr:row>
      <xdr:rowOff>800100</xdr:rowOff>
    </xdr:to>
    <xdr:pic>
      <xdr:nvPicPr>
        <xdr:cNvPr id="6" name="Picture 73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01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</xdr:row>
      <xdr:rowOff>57150</xdr:rowOff>
    </xdr:from>
    <xdr:to>
      <xdr:col>7</xdr:col>
      <xdr:colOff>333375</xdr:colOff>
      <xdr:row>7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571625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847725</xdr:rowOff>
    </xdr:from>
    <xdr:to>
      <xdr:col>4</xdr:col>
      <xdr:colOff>276225</xdr:colOff>
      <xdr:row>0</xdr:row>
      <xdr:rowOff>1019175</xdr:rowOff>
    </xdr:to>
    <xdr:sp>
      <xdr:nvSpPr>
        <xdr:cNvPr id="2" name="Rectangle 13"/>
        <xdr:cNvSpPr>
          <a:spLocks/>
        </xdr:cNvSpPr>
      </xdr:nvSpPr>
      <xdr:spPr>
        <a:xfrm>
          <a:off x="1924050" y="847725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790575</xdr:rowOff>
    </xdr:from>
    <xdr:to>
      <xdr:col>2</xdr:col>
      <xdr:colOff>581025</xdr:colOff>
      <xdr:row>0</xdr:row>
      <xdr:rowOff>1066800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790575"/>
          <a:ext cx="2495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314325</xdr:colOff>
      <xdr:row>0</xdr:row>
      <xdr:rowOff>847725</xdr:rowOff>
    </xdr:from>
    <xdr:to>
      <xdr:col>7</xdr:col>
      <xdr:colOff>133350</xdr:colOff>
      <xdr:row>0</xdr:row>
      <xdr:rowOff>1019175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4600575" y="847725"/>
          <a:ext cx="3248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6</xdr:col>
      <xdr:colOff>390525</xdr:colOff>
      <xdr:row>45</xdr:row>
      <xdr:rowOff>152400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849100"/>
          <a:ext cx="7219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0</xdr:row>
      <xdr:rowOff>800100</xdr:rowOff>
    </xdr:to>
    <xdr:pic>
      <xdr:nvPicPr>
        <xdr:cNvPr id="6" name="Picture 73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01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847725</xdr:rowOff>
    </xdr:from>
    <xdr:to>
      <xdr:col>4</xdr:col>
      <xdr:colOff>285750</xdr:colOff>
      <xdr:row>0</xdr:row>
      <xdr:rowOff>1019175</xdr:rowOff>
    </xdr:to>
    <xdr:sp>
      <xdr:nvSpPr>
        <xdr:cNvPr id="1" name="Rectangle 13"/>
        <xdr:cNvSpPr>
          <a:spLocks/>
        </xdr:cNvSpPr>
      </xdr:nvSpPr>
      <xdr:spPr>
        <a:xfrm>
          <a:off x="1924050" y="8477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790575</xdr:rowOff>
    </xdr:from>
    <xdr:to>
      <xdr:col>2</xdr:col>
      <xdr:colOff>581025</xdr:colOff>
      <xdr:row>0</xdr:row>
      <xdr:rowOff>1066800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90575"/>
          <a:ext cx="2495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371475</xdr:colOff>
      <xdr:row>0</xdr:row>
      <xdr:rowOff>847725</xdr:rowOff>
    </xdr:from>
    <xdr:to>
      <xdr:col>7</xdr:col>
      <xdr:colOff>161925</xdr:colOff>
      <xdr:row>0</xdr:row>
      <xdr:rowOff>1038225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657725" y="847725"/>
          <a:ext cx="2762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14</xdr:row>
      <xdr:rowOff>9525</xdr:rowOff>
    </xdr:from>
    <xdr:to>
      <xdr:col>7</xdr:col>
      <xdr:colOff>9525</xdr:colOff>
      <xdr:row>14</xdr:row>
      <xdr:rowOff>161925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95725"/>
          <a:ext cx="7267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0</xdr:row>
      <xdr:rowOff>800100</xdr:rowOff>
    </xdr:to>
    <xdr:pic>
      <xdr:nvPicPr>
        <xdr:cNvPr id="5" name="Picture 73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01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38100</xdr:rowOff>
    </xdr:from>
    <xdr:to>
      <xdr:col>10</xdr:col>
      <xdr:colOff>666750</xdr:colOff>
      <xdr:row>10</xdr:row>
      <xdr:rowOff>57150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847725"/>
          <a:ext cx="2828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5</xdr:row>
      <xdr:rowOff>47625</xdr:rowOff>
    </xdr:to>
    <xdr:pic>
      <xdr:nvPicPr>
        <xdr:cNvPr id="2" name="Picture 21" descr="Plastics-DO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9525</xdr:rowOff>
    </xdr:from>
    <xdr:to>
      <xdr:col>4</xdr:col>
      <xdr:colOff>400050</xdr:colOff>
      <xdr:row>15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2219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15</xdr:row>
      <xdr:rowOff>19050</xdr:rowOff>
    </xdr:from>
    <xdr:to>
      <xdr:col>5</xdr:col>
      <xdr:colOff>419100</xdr:colOff>
      <xdr:row>15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2228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16</xdr:row>
      <xdr:rowOff>0</xdr:rowOff>
    </xdr:from>
    <xdr:to>
      <xdr:col>6</xdr:col>
      <xdr:colOff>428625</xdr:colOff>
      <xdr:row>17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23717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9525</xdr:rowOff>
    </xdr:from>
    <xdr:to>
      <xdr:col>4</xdr:col>
      <xdr:colOff>400050</xdr:colOff>
      <xdr:row>16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3812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9525</xdr:rowOff>
    </xdr:from>
    <xdr:to>
      <xdr:col>4</xdr:col>
      <xdr:colOff>400050</xdr:colOff>
      <xdr:row>17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5431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18</xdr:row>
      <xdr:rowOff>9525</xdr:rowOff>
    </xdr:from>
    <xdr:to>
      <xdr:col>4</xdr:col>
      <xdr:colOff>400050</xdr:colOff>
      <xdr:row>18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705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19</xdr:row>
      <xdr:rowOff>9525</xdr:rowOff>
    </xdr:from>
    <xdr:to>
      <xdr:col>4</xdr:col>
      <xdr:colOff>400050</xdr:colOff>
      <xdr:row>19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867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16</xdr:row>
      <xdr:rowOff>19050</xdr:rowOff>
    </xdr:from>
    <xdr:to>
      <xdr:col>5</xdr:col>
      <xdr:colOff>419100</xdr:colOff>
      <xdr:row>16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3907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17</xdr:row>
      <xdr:rowOff>19050</xdr:rowOff>
    </xdr:from>
    <xdr:to>
      <xdr:col>5</xdr:col>
      <xdr:colOff>419100</xdr:colOff>
      <xdr:row>17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5527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18</xdr:row>
      <xdr:rowOff>19050</xdr:rowOff>
    </xdr:from>
    <xdr:to>
      <xdr:col>5</xdr:col>
      <xdr:colOff>419100</xdr:colOff>
      <xdr:row>18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7146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19</xdr:row>
      <xdr:rowOff>19050</xdr:rowOff>
    </xdr:from>
    <xdr:to>
      <xdr:col>5</xdr:col>
      <xdr:colOff>419100</xdr:colOff>
      <xdr:row>19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28765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17</xdr:row>
      <xdr:rowOff>38100</xdr:rowOff>
    </xdr:from>
    <xdr:to>
      <xdr:col>5</xdr:col>
      <xdr:colOff>638175</xdr:colOff>
      <xdr:row>17</xdr:row>
      <xdr:rowOff>123825</xdr:rowOff>
    </xdr:to>
    <xdr:pic>
      <xdr:nvPicPr>
        <xdr:cNvPr id="14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25717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20</xdr:row>
      <xdr:rowOff>9525</xdr:rowOff>
    </xdr:from>
    <xdr:to>
      <xdr:col>4</xdr:col>
      <xdr:colOff>400050</xdr:colOff>
      <xdr:row>20</xdr:row>
      <xdr:rowOff>152400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0289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20</xdr:row>
      <xdr:rowOff>19050</xdr:rowOff>
    </xdr:from>
    <xdr:to>
      <xdr:col>5</xdr:col>
      <xdr:colOff>419100</xdr:colOff>
      <xdr:row>20</xdr:row>
      <xdr:rowOff>152400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0384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20</xdr:row>
      <xdr:rowOff>0</xdr:rowOff>
    </xdr:from>
    <xdr:to>
      <xdr:col>6</xdr:col>
      <xdr:colOff>428625</xdr:colOff>
      <xdr:row>21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30194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21</xdr:row>
      <xdr:rowOff>9525</xdr:rowOff>
    </xdr:from>
    <xdr:to>
      <xdr:col>4</xdr:col>
      <xdr:colOff>400050</xdr:colOff>
      <xdr:row>21</xdr:row>
      <xdr:rowOff>152400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190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19050</xdr:rowOff>
    </xdr:from>
    <xdr:to>
      <xdr:col>5</xdr:col>
      <xdr:colOff>419100</xdr:colOff>
      <xdr:row>21</xdr:row>
      <xdr:rowOff>152400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2004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22</xdr:row>
      <xdr:rowOff>9525</xdr:rowOff>
    </xdr:from>
    <xdr:to>
      <xdr:col>4</xdr:col>
      <xdr:colOff>400050</xdr:colOff>
      <xdr:row>22</xdr:row>
      <xdr:rowOff>152400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22</xdr:row>
      <xdr:rowOff>19050</xdr:rowOff>
    </xdr:from>
    <xdr:to>
      <xdr:col>5</xdr:col>
      <xdr:colOff>419100</xdr:colOff>
      <xdr:row>22</xdr:row>
      <xdr:rowOff>152400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362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24</xdr:row>
      <xdr:rowOff>9525</xdr:rowOff>
    </xdr:from>
    <xdr:to>
      <xdr:col>4</xdr:col>
      <xdr:colOff>400050</xdr:colOff>
      <xdr:row>24</xdr:row>
      <xdr:rowOff>152400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676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24</xdr:row>
      <xdr:rowOff>19050</xdr:rowOff>
    </xdr:from>
    <xdr:to>
      <xdr:col>5</xdr:col>
      <xdr:colOff>419100</xdr:colOff>
      <xdr:row>24</xdr:row>
      <xdr:rowOff>152400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6861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24</xdr:row>
      <xdr:rowOff>0</xdr:rowOff>
    </xdr:from>
    <xdr:to>
      <xdr:col>6</xdr:col>
      <xdr:colOff>428625</xdr:colOff>
      <xdr:row>25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36671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9525</xdr:rowOff>
    </xdr:from>
    <xdr:to>
      <xdr:col>4</xdr:col>
      <xdr:colOff>400050</xdr:colOff>
      <xdr:row>25</xdr:row>
      <xdr:rowOff>152400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838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25</xdr:row>
      <xdr:rowOff>19050</xdr:rowOff>
    </xdr:from>
    <xdr:to>
      <xdr:col>5</xdr:col>
      <xdr:colOff>419100</xdr:colOff>
      <xdr:row>25</xdr:row>
      <xdr:rowOff>152400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8481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26</xdr:row>
      <xdr:rowOff>9525</xdr:rowOff>
    </xdr:from>
    <xdr:to>
      <xdr:col>4</xdr:col>
      <xdr:colOff>400050</xdr:colOff>
      <xdr:row>26</xdr:row>
      <xdr:rowOff>152400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000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26</xdr:row>
      <xdr:rowOff>19050</xdr:rowOff>
    </xdr:from>
    <xdr:to>
      <xdr:col>5</xdr:col>
      <xdr:colOff>419100</xdr:colOff>
      <xdr:row>26</xdr:row>
      <xdr:rowOff>152400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0100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27</xdr:row>
      <xdr:rowOff>9525</xdr:rowOff>
    </xdr:from>
    <xdr:to>
      <xdr:col>4</xdr:col>
      <xdr:colOff>400050</xdr:colOff>
      <xdr:row>27</xdr:row>
      <xdr:rowOff>152400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1624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28</xdr:row>
      <xdr:rowOff>9525</xdr:rowOff>
    </xdr:from>
    <xdr:to>
      <xdr:col>4</xdr:col>
      <xdr:colOff>400050</xdr:colOff>
      <xdr:row>28</xdr:row>
      <xdr:rowOff>152400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324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28</xdr:row>
      <xdr:rowOff>19050</xdr:rowOff>
    </xdr:from>
    <xdr:to>
      <xdr:col>5</xdr:col>
      <xdr:colOff>419100</xdr:colOff>
      <xdr:row>28</xdr:row>
      <xdr:rowOff>152400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3338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28</xdr:row>
      <xdr:rowOff>38100</xdr:rowOff>
    </xdr:from>
    <xdr:to>
      <xdr:col>4</xdr:col>
      <xdr:colOff>638175</xdr:colOff>
      <xdr:row>28</xdr:row>
      <xdr:rowOff>123825</xdr:rowOff>
    </xdr:to>
    <xdr:pic>
      <xdr:nvPicPr>
        <xdr:cNvPr id="32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43529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28</xdr:row>
      <xdr:rowOff>38100</xdr:rowOff>
    </xdr:from>
    <xdr:to>
      <xdr:col>5</xdr:col>
      <xdr:colOff>638175</xdr:colOff>
      <xdr:row>28</xdr:row>
      <xdr:rowOff>123825</xdr:rowOff>
    </xdr:to>
    <xdr:pic>
      <xdr:nvPicPr>
        <xdr:cNvPr id="33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43529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29</xdr:row>
      <xdr:rowOff>9525</xdr:rowOff>
    </xdr:from>
    <xdr:to>
      <xdr:col>4</xdr:col>
      <xdr:colOff>400050</xdr:colOff>
      <xdr:row>29</xdr:row>
      <xdr:rowOff>152400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4862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29</xdr:row>
      <xdr:rowOff>19050</xdr:rowOff>
    </xdr:from>
    <xdr:to>
      <xdr:col>5</xdr:col>
      <xdr:colOff>419100</xdr:colOff>
      <xdr:row>29</xdr:row>
      <xdr:rowOff>152400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4958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31</xdr:row>
      <xdr:rowOff>0</xdr:rowOff>
    </xdr:from>
    <xdr:to>
      <xdr:col>4</xdr:col>
      <xdr:colOff>400050</xdr:colOff>
      <xdr:row>31</xdr:row>
      <xdr:rowOff>142875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800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31</xdr:row>
      <xdr:rowOff>0</xdr:rowOff>
    </xdr:from>
    <xdr:to>
      <xdr:col>5</xdr:col>
      <xdr:colOff>419100</xdr:colOff>
      <xdr:row>31</xdr:row>
      <xdr:rowOff>133350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8006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31</xdr:row>
      <xdr:rowOff>9525</xdr:rowOff>
    </xdr:from>
    <xdr:to>
      <xdr:col>4</xdr:col>
      <xdr:colOff>400050</xdr:colOff>
      <xdr:row>31</xdr:row>
      <xdr:rowOff>152400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810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31</xdr:row>
      <xdr:rowOff>19050</xdr:rowOff>
    </xdr:from>
    <xdr:to>
      <xdr:col>5</xdr:col>
      <xdr:colOff>419100</xdr:colOff>
      <xdr:row>31</xdr:row>
      <xdr:rowOff>152400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8196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32</xdr:row>
      <xdr:rowOff>9525</xdr:rowOff>
    </xdr:from>
    <xdr:to>
      <xdr:col>4</xdr:col>
      <xdr:colOff>400050</xdr:colOff>
      <xdr:row>32</xdr:row>
      <xdr:rowOff>152400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972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32</xdr:row>
      <xdr:rowOff>19050</xdr:rowOff>
    </xdr:from>
    <xdr:to>
      <xdr:col>5</xdr:col>
      <xdr:colOff>419100</xdr:colOff>
      <xdr:row>32</xdr:row>
      <xdr:rowOff>152400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9815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33</xdr:row>
      <xdr:rowOff>9525</xdr:rowOff>
    </xdr:from>
    <xdr:to>
      <xdr:col>4</xdr:col>
      <xdr:colOff>400050</xdr:colOff>
      <xdr:row>33</xdr:row>
      <xdr:rowOff>152400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133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33</xdr:row>
      <xdr:rowOff>19050</xdr:rowOff>
    </xdr:from>
    <xdr:to>
      <xdr:col>5</xdr:col>
      <xdr:colOff>419100</xdr:colOff>
      <xdr:row>33</xdr:row>
      <xdr:rowOff>152400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1435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34</xdr:row>
      <xdr:rowOff>9525</xdr:rowOff>
    </xdr:from>
    <xdr:to>
      <xdr:col>4</xdr:col>
      <xdr:colOff>400050</xdr:colOff>
      <xdr:row>34</xdr:row>
      <xdr:rowOff>152400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295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34</xdr:row>
      <xdr:rowOff>19050</xdr:rowOff>
    </xdr:from>
    <xdr:to>
      <xdr:col>5</xdr:col>
      <xdr:colOff>419100</xdr:colOff>
      <xdr:row>34</xdr:row>
      <xdr:rowOff>152400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3054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34</xdr:row>
      <xdr:rowOff>0</xdr:rowOff>
    </xdr:from>
    <xdr:to>
      <xdr:col>6</xdr:col>
      <xdr:colOff>428625</xdr:colOff>
      <xdr:row>35</xdr:row>
      <xdr:rowOff>19050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5286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35</xdr:row>
      <xdr:rowOff>0</xdr:rowOff>
    </xdr:from>
    <xdr:to>
      <xdr:col>4</xdr:col>
      <xdr:colOff>400050</xdr:colOff>
      <xdr:row>35</xdr:row>
      <xdr:rowOff>142875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448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35</xdr:row>
      <xdr:rowOff>9525</xdr:rowOff>
    </xdr:from>
    <xdr:to>
      <xdr:col>4</xdr:col>
      <xdr:colOff>400050</xdr:colOff>
      <xdr:row>35</xdr:row>
      <xdr:rowOff>152400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457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35</xdr:row>
      <xdr:rowOff>19050</xdr:rowOff>
    </xdr:from>
    <xdr:to>
      <xdr:col>5</xdr:col>
      <xdr:colOff>419100</xdr:colOff>
      <xdr:row>35</xdr:row>
      <xdr:rowOff>152400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4673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35</xdr:row>
      <xdr:rowOff>0</xdr:rowOff>
    </xdr:from>
    <xdr:to>
      <xdr:col>6</xdr:col>
      <xdr:colOff>428625</xdr:colOff>
      <xdr:row>36</xdr:row>
      <xdr:rowOff>19050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5448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36</xdr:row>
      <xdr:rowOff>9525</xdr:rowOff>
    </xdr:from>
    <xdr:to>
      <xdr:col>4</xdr:col>
      <xdr:colOff>400050</xdr:colOff>
      <xdr:row>36</xdr:row>
      <xdr:rowOff>152400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619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36</xdr:row>
      <xdr:rowOff>19050</xdr:rowOff>
    </xdr:from>
    <xdr:to>
      <xdr:col>5</xdr:col>
      <xdr:colOff>419100</xdr:colOff>
      <xdr:row>36</xdr:row>
      <xdr:rowOff>152400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6292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9525</xdr:rowOff>
    </xdr:from>
    <xdr:to>
      <xdr:col>4</xdr:col>
      <xdr:colOff>400050</xdr:colOff>
      <xdr:row>37</xdr:row>
      <xdr:rowOff>152400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781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37</xdr:row>
      <xdr:rowOff>19050</xdr:rowOff>
    </xdr:from>
    <xdr:to>
      <xdr:col>5</xdr:col>
      <xdr:colOff>419100</xdr:colOff>
      <xdr:row>37</xdr:row>
      <xdr:rowOff>152400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7912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9525</xdr:rowOff>
    </xdr:from>
    <xdr:to>
      <xdr:col>4</xdr:col>
      <xdr:colOff>400050</xdr:colOff>
      <xdr:row>39</xdr:row>
      <xdr:rowOff>152400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105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39</xdr:row>
      <xdr:rowOff>19050</xdr:rowOff>
    </xdr:from>
    <xdr:to>
      <xdr:col>5</xdr:col>
      <xdr:colOff>419100</xdr:colOff>
      <xdr:row>39</xdr:row>
      <xdr:rowOff>152400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1150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9525</xdr:rowOff>
    </xdr:from>
    <xdr:to>
      <xdr:col>4</xdr:col>
      <xdr:colOff>400050</xdr:colOff>
      <xdr:row>40</xdr:row>
      <xdr:rowOff>152400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267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40</xdr:row>
      <xdr:rowOff>19050</xdr:rowOff>
    </xdr:from>
    <xdr:to>
      <xdr:col>5</xdr:col>
      <xdr:colOff>419100</xdr:colOff>
      <xdr:row>40</xdr:row>
      <xdr:rowOff>152400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2769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43</xdr:row>
      <xdr:rowOff>0</xdr:rowOff>
    </xdr:from>
    <xdr:to>
      <xdr:col>4</xdr:col>
      <xdr:colOff>400050</xdr:colOff>
      <xdr:row>43</xdr:row>
      <xdr:rowOff>142875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743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43</xdr:row>
      <xdr:rowOff>0</xdr:rowOff>
    </xdr:from>
    <xdr:to>
      <xdr:col>4</xdr:col>
      <xdr:colOff>400050</xdr:colOff>
      <xdr:row>43</xdr:row>
      <xdr:rowOff>142875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743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43</xdr:row>
      <xdr:rowOff>9525</xdr:rowOff>
    </xdr:from>
    <xdr:to>
      <xdr:col>4</xdr:col>
      <xdr:colOff>400050</xdr:colOff>
      <xdr:row>43</xdr:row>
      <xdr:rowOff>152400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753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43</xdr:row>
      <xdr:rowOff>19050</xdr:rowOff>
    </xdr:from>
    <xdr:to>
      <xdr:col>5</xdr:col>
      <xdr:colOff>419100</xdr:colOff>
      <xdr:row>43</xdr:row>
      <xdr:rowOff>152400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7627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44</xdr:row>
      <xdr:rowOff>9525</xdr:rowOff>
    </xdr:from>
    <xdr:to>
      <xdr:col>4</xdr:col>
      <xdr:colOff>400050</xdr:colOff>
      <xdr:row>44</xdr:row>
      <xdr:rowOff>152400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9151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44</xdr:row>
      <xdr:rowOff>38100</xdr:rowOff>
    </xdr:from>
    <xdr:to>
      <xdr:col>4</xdr:col>
      <xdr:colOff>638175</xdr:colOff>
      <xdr:row>44</xdr:row>
      <xdr:rowOff>123825</xdr:rowOff>
    </xdr:to>
    <xdr:pic>
      <xdr:nvPicPr>
        <xdr:cNvPr id="64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69437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48</xdr:row>
      <xdr:rowOff>9525</xdr:rowOff>
    </xdr:from>
    <xdr:to>
      <xdr:col>4</xdr:col>
      <xdr:colOff>400050</xdr:colOff>
      <xdr:row>48</xdr:row>
      <xdr:rowOff>152400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562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48</xdr:row>
      <xdr:rowOff>19050</xdr:rowOff>
    </xdr:from>
    <xdr:to>
      <xdr:col>5</xdr:col>
      <xdr:colOff>419100</xdr:colOff>
      <xdr:row>48</xdr:row>
      <xdr:rowOff>152400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5723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48</xdr:row>
      <xdr:rowOff>0</xdr:rowOff>
    </xdr:from>
    <xdr:to>
      <xdr:col>6</xdr:col>
      <xdr:colOff>428625</xdr:colOff>
      <xdr:row>49</xdr:row>
      <xdr:rowOff>19050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7553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49</xdr:row>
      <xdr:rowOff>19050</xdr:rowOff>
    </xdr:from>
    <xdr:to>
      <xdr:col>5</xdr:col>
      <xdr:colOff>419100</xdr:colOff>
      <xdr:row>49</xdr:row>
      <xdr:rowOff>152400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734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49</xdr:row>
      <xdr:rowOff>9525</xdr:rowOff>
    </xdr:from>
    <xdr:to>
      <xdr:col>4</xdr:col>
      <xdr:colOff>400050</xdr:colOff>
      <xdr:row>49</xdr:row>
      <xdr:rowOff>152400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724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50</xdr:row>
      <xdr:rowOff>9525</xdr:rowOff>
    </xdr:from>
    <xdr:to>
      <xdr:col>4</xdr:col>
      <xdr:colOff>400050</xdr:colOff>
      <xdr:row>50</xdr:row>
      <xdr:rowOff>152400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886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50</xdr:row>
      <xdr:rowOff>19050</xdr:rowOff>
    </xdr:from>
    <xdr:to>
      <xdr:col>5</xdr:col>
      <xdr:colOff>419100</xdr:colOff>
      <xdr:row>50</xdr:row>
      <xdr:rowOff>152400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8962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51</xdr:row>
      <xdr:rowOff>9525</xdr:rowOff>
    </xdr:from>
    <xdr:to>
      <xdr:col>4</xdr:col>
      <xdr:colOff>400050</xdr:colOff>
      <xdr:row>51</xdr:row>
      <xdr:rowOff>152400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048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51</xdr:row>
      <xdr:rowOff>19050</xdr:rowOff>
    </xdr:from>
    <xdr:to>
      <xdr:col>5</xdr:col>
      <xdr:colOff>419100</xdr:colOff>
      <xdr:row>51</xdr:row>
      <xdr:rowOff>152400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0581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52</xdr:row>
      <xdr:rowOff>9525</xdr:rowOff>
    </xdr:from>
    <xdr:to>
      <xdr:col>4</xdr:col>
      <xdr:colOff>400050</xdr:colOff>
      <xdr:row>52</xdr:row>
      <xdr:rowOff>152400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210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54</xdr:row>
      <xdr:rowOff>9525</xdr:rowOff>
    </xdr:from>
    <xdr:to>
      <xdr:col>4</xdr:col>
      <xdr:colOff>400050</xdr:colOff>
      <xdr:row>54</xdr:row>
      <xdr:rowOff>152400</xdr:rowOff>
    </xdr:to>
    <xdr:pic>
      <xdr:nvPicPr>
        <xdr:cNvPr id="75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534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54</xdr:row>
      <xdr:rowOff>19050</xdr:rowOff>
    </xdr:from>
    <xdr:to>
      <xdr:col>5</xdr:col>
      <xdr:colOff>419100</xdr:colOff>
      <xdr:row>54</xdr:row>
      <xdr:rowOff>152400</xdr:rowOff>
    </xdr:to>
    <xdr:pic>
      <xdr:nvPicPr>
        <xdr:cNvPr id="76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5439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54</xdr:row>
      <xdr:rowOff>0</xdr:rowOff>
    </xdr:from>
    <xdr:to>
      <xdr:col>6</xdr:col>
      <xdr:colOff>428625</xdr:colOff>
      <xdr:row>55</xdr:row>
      <xdr:rowOff>19050</xdr:rowOff>
    </xdr:to>
    <xdr:pic>
      <xdr:nvPicPr>
        <xdr:cNvPr id="77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8524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55</xdr:row>
      <xdr:rowOff>9525</xdr:rowOff>
    </xdr:from>
    <xdr:to>
      <xdr:col>4</xdr:col>
      <xdr:colOff>400050</xdr:colOff>
      <xdr:row>55</xdr:row>
      <xdr:rowOff>152400</xdr:rowOff>
    </xdr:to>
    <xdr:pic>
      <xdr:nvPicPr>
        <xdr:cNvPr id="78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696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54</xdr:row>
      <xdr:rowOff>19050</xdr:rowOff>
    </xdr:from>
    <xdr:to>
      <xdr:col>5</xdr:col>
      <xdr:colOff>419100</xdr:colOff>
      <xdr:row>54</xdr:row>
      <xdr:rowOff>152400</xdr:rowOff>
    </xdr:to>
    <xdr:pic>
      <xdr:nvPicPr>
        <xdr:cNvPr id="79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5439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55</xdr:row>
      <xdr:rowOff>38100</xdr:rowOff>
    </xdr:from>
    <xdr:to>
      <xdr:col>4</xdr:col>
      <xdr:colOff>638175</xdr:colOff>
      <xdr:row>55</xdr:row>
      <xdr:rowOff>123825</xdr:rowOff>
    </xdr:to>
    <xdr:pic>
      <xdr:nvPicPr>
        <xdr:cNvPr id="80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87249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55</xdr:row>
      <xdr:rowOff>19050</xdr:rowOff>
    </xdr:from>
    <xdr:to>
      <xdr:col>5</xdr:col>
      <xdr:colOff>419100</xdr:colOff>
      <xdr:row>55</xdr:row>
      <xdr:rowOff>152400</xdr:rowOff>
    </xdr:to>
    <xdr:pic>
      <xdr:nvPicPr>
        <xdr:cNvPr id="8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705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55</xdr:row>
      <xdr:rowOff>38100</xdr:rowOff>
    </xdr:from>
    <xdr:to>
      <xdr:col>5</xdr:col>
      <xdr:colOff>638175</xdr:colOff>
      <xdr:row>55</xdr:row>
      <xdr:rowOff>123825</xdr:rowOff>
    </xdr:to>
    <xdr:pic>
      <xdr:nvPicPr>
        <xdr:cNvPr id="82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87249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56</xdr:row>
      <xdr:rowOff>9525</xdr:rowOff>
    </xdr:from>
    <xdr:to>
      <xdr:col>4</xdr:col>
      <xdr:colOff>400050</xdr:colOff>
      <xdr:row>56</xdr:row>
      <xdr:rowOff>152400</xdr:rowOff>
    </xdr:to>
    <xdr:pic>
      <xdr:nvPicPr>
        <xdr:cNvPr id="83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8582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59</xdr:row>
      <xdr:rowOff>9525</xdr:rowOff>
    </xdr:from>
    <xdr:to>
      <xdr:col>4</xdr:col>
      <xdr:colOff>400050</xdr:colOff>
      <xdr:row>59</xdr:row>
      <xdr:rowOff>152400</xdr:rowOff>
    </xdr:to>
    <xdr:pic>
      <xdr:nvPicPr>
        <xdr:cNvPr id="84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344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59</xdr:row>
      <xdr:rowOff>19050</xdr:rowOff>
    </xdr:from>
    <xdr:to>
      <xdr:col>5</xdr:col>
      <xdr:colOff>419100</xdr:colOff>
      <xdr:row>59</xdr:row>
      <xdr:rowOff>152400</xdr:rowOff>
    </xdr:to>
    <xdr:pic>
      <xdr:nvPicPr>
        <xdr:cNvPr id="85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3535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60</xdr:row>
      <xdr:rowOff>9525</xdr:rowOff>
    </xdr:from>
    <xdr:to>
      <xdr:col>4</xdr:col>
      <xdr:colOff>400050</xdr:colOff>
      <xdr:row>60</xdr:row>
      <xdr:rowOff>152400</xdr:rowOff>
    </xdr:to>
    <xdr:pic>
      <xdr:nvPicPr>
        <xdr:cNvPr id="86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5059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60</xdr:row>
      <xdr:rowOff>19050</xdr:rowOff>
    </xdr:from>
    <xdr:to>
      <xdr:col>5</xdr:col>
      <xdr:colOff>419100</xdr:colOff>
      <xdr:row>60</xdr:row>
      <xdr:rowOff>152400</xdr:rowOff>
    </xdr:to>
    <xdr:pic>
      <xdr:nvPicPr>
        <xdr:cNvPr id="87" name="Picture 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5154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61</xdr:row>
      <xdr:rowOff>9525</xdr:rowOff>
    </xdr:from>
    <xdr:to>
      <xdr:col>4</xdr:col>
      <xdr:colOff>400050</xdr:colOff>
      <xdr:row>61</xdr:row>
      <xdr:rowOff>152400</xdr:rowOff>
    </xdr:to>
    <xdr:pic>
      <xdr:nvPicPr>
        <xdr:cNvPr id="88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667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61</xdr:row>
      <xdr:rowOff>38100</xdr:rowOff>
    </xdr:from>
    <xdr:to>
      <xdr:col>4</xdr:col>
      <xdr:colOff>638175</xdr:colOff>
      <xdr:row>61</xdr:row>
      <xdr:rowOff>123825</xdr:rowOff>
    </xdr:to>
    <xdr:pic>
      <xdr:nvPicPr>
        <xdr:cNvPr id="89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96964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62</xdr:row>
      <xdr:rowOff>9525</xdr:rowOff>
    </xdr:from>
    <xdr:to>
      <xdr:col>4</xdr:col>
      <xdr:colOff>400050</xdr:colOff>
      <xdr:row>62</xdr:row>
      <xdr:rowOff>152400</xdr:rowOff>
    </xdr:to>
    <xdr:pic>
      <xdr:nvPicPr>
        <xdr:cNvPr id="90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829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62</xdr:row>
      <xdr:rowOff>19050</xdr:rowOff>
    </xdr:from>
    <xdr:to>
      <xdr:col>5</xdr:col>
      <xdr:colOff>419100</xdr:colOff>
      <xdr:row>62</xdr:row>
      <xdr:rowOff>152400</xdr:rowOff>
    </xdr:to>
    <xdr:pic>
      <xdr:nvPicPr>
        <xdr:cNvPr id="91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839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62</xdr:row>
      <xdr:rowOff>0</xdr:rowOff>
    </xdr:from>
    <xdr:to>
      <xdr:col>6</xdr:col>
      <xdr:colOff>428625</xdr:colOff>
      <xdr:row>63</xdr:row>
      <xdr:rowOff>19050</xdr:rowOff>
    </xdr:to>
    <xdr:pic>
      <xdr:nvPicPr>
        <xdr:cNvPr id="92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9820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63</xdr:row>
      <xdr:rowOff>9525</xdr:rowOff>
    </xdr:from>
    <xdr:to>
      <xdr:col>4</xdr:col>
      <xdr:colOff>400050</xdr:colOff>
      <xdr:row>63</xdr:row>
      <xdr:rowOff>152400</xdr:rowOff>
    </xdr:to>
    <xdr:pic>
      <xdr:nvPicPr>
        <xdr:cNvPr id="93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9917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63</xdr:row>
      <xdr:rowOff>19050</xdr:rowOff>
    </xdr:from>
    <xdr:to>
      <xdr:col>5</xdr:col>
      <xdr:colOff>419100</xdr:colOff>
      <xdr:row>63</xdr:row>
      <xdr:rowOff>152400</xdr:rowOff>
    </xdr:to>
    <xdr:pic>
      <xdr:nvPicPr>
        <xdr:cNvPr id="94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0012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64</xdr:row>
      <xdr:rowOff>9525</xdr:rowOff>
    </xdr:from>
    <xdr:to>
      <xdr:col>4</xdr:col>
      <xdr:colOff>400050</xdr:colOff>
      <xdr:row>64</xdr:row>
      <xdr:rowOff>152400</xdr:rowOff>
    </xdr:to>
    <xdr:pic>
      <xdr:nvPicPr>
        <xdr:cNvPr id="95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153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65</xdr:row>
      <xdr:rowOff>9525</xdr:rowOff>
    </xdr:from>
    <xdr:to>
      <xdr:col>4</xdr:col>
      <xdr:colOff>400050</xdr:colOff>
      <xdr:row>65</xdr:row>
      <xdr:rowOff>152400</xdr:rowOff>
    </xdr:to>
    <xdr:pic>
      <xdr:nvPicPr>
        <xdr:cNvPr id="96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315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65</xdr:row>
      <xdr:rowOff>19050</xdr:rowOff>
    </xdr:from>
    <xdr:to>
      <xdr:col>5</xdr:col>
      <xdr:colOff>419100</xdr:colOff>
      <xdr:row>65</xdr:row>
      <xdr:rowOff>152400</xdr:rowOff>
    </xdr:to>
    <xdr:pic>
      <xdr:nvPicPr>
        <xdr:cNvPr id="97" name="Picture 1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3251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66</xdr:row>
      <xdr:rowOff>9525</xdr:rowOff>
    </xdr:from>
    <xdr:to>
      <xdr:col>4</xdr:col>
      <xdr:colOff>400050</xdr:colOff>
      <xdr:row>66</xdr:row>
      <xdr:rowOff>152400</xdr:rowOff>
    </xdr:to>
    <xdr:pic>
      <xdr:nvPicPr>
        <xdr:cNvPr id="98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477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66</xdr:row>
      <xdr:rowOff>19050</xdr:rowOff>
    </xdr:from>
    <xdr:to>
      <xdr:col>5</xdr:col>
      <xdr:colOff>419100</xdr:colOff>
      <xdr:row>66</xdr:row>
      <xdr:rowOff>152400</xdr:rowOff>
    </xdr:to>
    <xdr:pic>
      <xdr:nvPicPr>
        <xdr:cNvPr id="99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4870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68</xdr:row>
      <xdr:rowOff>9525</xdr:rowOff>
    </xdr:from>
    <xdr:to>
      <xdr:col>4</xdr:col>
      <xdr:colOff>400050</xdr:colOff>
      <xdr:row>68</xdr:row>
      <xdr:rowOff>152400</xdr:rowOff>
    </xdr:to>
    <xdr:pic>
      <xdr:nvPicPr>
        <xdr:cNvPr id="100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0801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68</xdr:row>
      <xdr:rowOff>19050</xdr:rowOff>
    </xdr:from>
    <xdr:to>
      <xdr:col>5</xdr:col>
      <xdr:colOff>419100</xdr:colOff>
      <xdr:row>68</xdr:row>
      <xdr:rowOff>152400</xdr:rowOff>
    </xdr:to>
    <xdr:pic>
      <xdr:nvPicPr>
        <xdr:cNvPr id="101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8108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0</xdr:rowOff>
    </xdr:from>
    <xdr:to>
      <xdr:col>4</xdr:col>
      <xdr:colOff>400050</xdr:colOff>
      <xdr:row>47</xdr:row>
      <xdr:rowOff>142875</xdr:rowOff>
    </xdr:to>
    <xdr:pic>
      <xdr:nvPicPr>
        <xdr:cNvPr id="102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391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47</xdr:row>
      <xdr:rowOff>0</xdr:rowOff>
    </xdr:from>
    <xdr:to>
      <xdr:col>5</xdr:col>
      <xdr:colOff>419100</xdr:colOff>
      <xdr:row>47</xdr:row>
      <xdr:rowOff>133350</xdr:rowOff>
    </xdr:to>
    <xdr:pic>
      <xdr:nvPicPr>
        <xdr:cNvPr id="103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3914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0</xdr:rowOff>
    </xdr:from>
    <xdr:to>
      <xdr:col>4</xdr:col>
      <xdr:colOff>400050</xdr:colOff>
      <xdr:row>47</xdr:row>
      <xdr:rowOff>142875</xdr:rowOff>
    </xdr:to>
    <xdr:pic>
      <xdr:nvPicPr>
        <xdr:cNvPr id="104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391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47</xdr:row>
      <xdr:rowOff>0</xdr:rowOff>
    </xdr:from>
    <xdr:to>
      <xdr:col>5</xdr:col>
      <xdr:colOff>419100</xdr:colOff>
      <xdr:row>47</xdr:row>
      <xdr:rowOff>133350</xdr:rowOff>
    </xdr:to>
    <xdr:pic>
      <xdr:nvPicPr>
        <xdr:cNvPr id="105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3914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47</xdr:row>
      <xdr:rowOff>9525</xdr:rowOff>
    </xdr:from>
    <xdr:to>
      <xdr:col>4</xdr:col>
      <xdr:colOff>400050</xdr:colOff>
      <xdr:row>47</xdr:row>
      <xdr:rowOff>152400</xdr:rowOff>
    </xdr:to>
    <xdr:pic>
      <xdr:nvPicPr>
        <xdr:cNvPr id="106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400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47</xdr:row>
      <xdr:rowOff>19050</xdr:rowOff>
    </xdr:from>
    <xdr:to>
      <xdr:col>5</xdr:col>
      <xdr:colOff>419100</xdr:colOff>
      <xdr:row>47</xdr:row>
      <xdr:rowOff>152400</xdr:rowOff>
    </xdr:to>
    <xdr:pic>
      <xdr:nvPicPr>
        <xdr:cNvPr id="107" name="Picture 1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4104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71</xdr:row>
      <xdr:rowOff>9525</xdr:rowOff>
    </xdr:from>
    <xdr:to>
      <xdr:col>4</xdr:col>
      <xdr:colOff>400050</xdr:colOff>
      <xdr:row>71</xdr:row>
      <xdr:rowOff>152400</xdr:rowOff>
    </xdr:to>
    <xdr:pic>
      <xdr:nvPicPr>
        <xdr:cNvPr id="108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287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72</xdr:row>
      <xdr:rowOff>9525</xdr:rowOff>
    </xdr:from>
    <xdr:to>
      <xdr:col>4</xdr:col>
      <xdr:colOff>400050</xdr:colOff>
      <xdr:row>72</xdr:row>
      <xdr:rowOff>152400</xdr:rowOff>
    </xdr:to>
    <xdr:pic>
      <xdr:nvPicPr>
        <xdr:cNvPr id="10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449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72</xdr:row>
      <xdr:rowOff>19050</xdr:rowOff>
    </xdr:from>
    <xdr:to>
      <xdr:col>5</xdr:col>
      <xdr:colOff>419100</xdr:colOff>
      <xdr:row>72</xdr:row>
      <xdr:rowOff>152400</xdr:rowOff>
    </xdr:to>
    <xdr:pic>
      <xdr:nvPicPr>
        <xdr:cNvPr id="110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4585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73</xdr:row>
      <xdr:rowOff>9525</xdr:rowOff>
    </xdr:from>
    <xdr:to>
      <xdr:col>4</xdr:col>
      <xdr:colOff>400050</xdr:colOff>
      <xdr:row>73</xdr:row>
      <xdr:rowOff>152400</xdr:rowOff>
    </xdr:to>
    <xdr:pic>
      <xdr:nvPicPr>
        <xdr:cNvPr id="111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610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73</xdr:row>
      <xdr:rowOff>19050</xdr:rowOff>
    </xdr:from>
    <xdr:to>
      <xdr:col>5</xdr:col>
      <xdr:colOff>419100</xdr:colOff>
      <xdr:row>73</xdr:row>
      <xdr:rowOff>152400</xdr:rowOff>
    </xdr:to>
    <xdr:pic>
      <xdr:nvPicPr>
        <xdr:cNvPr id="112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6205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53</xdr:row>
      <xdr:rowOff>9525</xdr:rowOff>
    </xdr:from>
    <xdr:to>
      <xdr:col>4</xdr:col>
      <xdr:colOff>400050</xdr:colOff>
      <xdr:row>53</xdr:row>
      <xdr:rowOff>152400</xdr:rowOff>
    </xdr:to>
    <xdr:pic>
      <xdr:nvPicPr>
        <xdr:cNvPr id="113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8372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53</xdr:row>
      <xdr:rowOff>19050</xdr:rowOff>
    </xdr:from>
    <xdr:to>
      <xdr:col>5</xdr:col>
      <xdr:colOff>419100</xdr:colOff>
      <xdr:row>53</xdr:row>
      <xdr:rowOff>152400</xdr:rowOff>
    </xdr:to>
    <xdr:pic>
      <xdr:nvPicPr>
        <xdr:cNvPr id="114" name="Picture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83820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74</xdr:row>
      <xdr:rowOff>9525</xdr:rowOff>
    </xdr:from>
    <xdr:to>
      <xdr:col>4</xdr:col>
      <xdr:colOff>400050</xdr:colOff>
      <xdr:row>74</xdr:row>
      <xdr:rowOff>152400</xdr:rowOff>
    </xdr:to>
    <xdr:pic>
      <xdr:nvPicPr>
        <xdr:cNvPr id="115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772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74</xdr:row>
      <xdr:rowOff>19050</xdr:rowOff>
    </xdr:from>
    <xdr:to>
      <xdr:col>5</xdr:col>
      <xdr:colOff>419100</xdr:colOff>
      <xdr:row>74</xdr:row>
      <xdr:rowOff>152400</xdr:rowOff>
    </xdr:to>
    <xdr:pic>
      <xdr:nvPicPr>
        <xdr:cNvPr id="116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7824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78</xdr:row>
      <xdr:rowOff>9525</xdr:rowOff>
    </xdr:from>
    <xdr:to>
      <xdr:col>4</xdr:col>
      <xdr:colOff>400050</xdr:colOff>
      <xdr:row>78</xdr:row>
      <xdr:rowOff>152400</xdr:rowOff>
    </xdr:to>
    <xdr:pic>
      <xdr:nvPicPr>
        <xdr:cNvPr id="117" name="Picture 1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420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78</xdr:row>
      <xdr:rowOff>19050</xdr:rowOff>
    </xdr:from>
    <xdr:to>
      <xdr:col>5</xdr:col>
      <xdr:colOff>419100</xdr:colOff>
      <xdr:row>78</xdr:row>
      <xdr:rowOff>152400</xdr:rowOff>
    </xdr:to>
    <xdr:pic>
      <xdr:nvPicPr>
        <xdr:cNvPr id="118" name="Picture 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4301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78</xdr:row>
      <xdr:rowOff>38100</xdr:rowOff>
    </xdr:from>
    <xdr:to>
      <xdr:col>4</xdr:col>
      <xdr:colOff>638175</xdr:colOff>
      <xdr:row>78</xdr:row>
      <xdr:rowOff>123825</xdr:rowOff>
    </xdr:to>
    <xdr:pic>
      <xdr:nvPicPr>
        <xdr:cNvPr id="119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124491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78</xdr:row>
      <xdr:rowOff>38100</xdr:rowOff>
    </xdr:from>
    <xdr:to>
      <xdr:col>5</xdr:col>
      <xdr:colOff>638175</xdr:colOff>
      <xdr:row>78</xdr:row>
      <xdr:rowOff>123825</xdr:rowOff>
    </xdr:to>
    <xdr:pic>
      <xdr:nvPicPr>
        <xdr:cNvPr id="120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124491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79</xdr:row>
      <xdr:rowOff>9525</xdr:rowOff>
    </xdr:from>
    <xdr:to>
      <xdr:col>4</xdr:col>
      <xdr:colOff>400050</xdr:colOff>
      <xdr:row>79</xdr:row>
      <xdr:rowOff>152400</xdr:rowOff>
    </xdr:to>
    <xdr:pic>
      <xdr:nvPicPr>
        <xdr:cNvPr id="121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582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79</xdr:row>
      <xdr:rowOff>19050</xdr:rowOff>
    </xdr:from>
    <xdr:to>
      <xdr:col>5</xdr:col>
      <xdr:colOff>419100</xdr:colOff>
      <xdr:row>79</xdr:row>
      <xdr:rowOff>152400</xdr:rowOff>
    </xdr:to>
    <xdr:pic>
      <xdr:nvPicPr>
        <xdr:cNvPr id="122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5920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80</xdr:row>
      <xdr:rowOff>9525</xdr:rowOff>
    </xdr:from>
    <xdr:to>
      <xdr:col>4</xdr:col>
      <xdr:colOff>400050</xdr:colOff>
      <xdr:row>80</xdr:row>
      <xdr:rowOff>152400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744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80</xdr:row>
      <xdr:rowOff>38100</xdr:rowOff>
    </xdr:from>
    <xdr:to>
      <xdr:col>4</xdr:col>
      <xdr:colOff>638175</xdr:colOff>
      <xdr:row>80</xdr:row>
      <xdr:rowOff>123825</xdr:rowOff>
    </xdr:to>
    <xdr:pic>
      <xdr:nvPicPr>
        <xdr:cNvPr id="124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127730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80</xdr:row>
      <xdr:rowOff>19050</xdr:rowOff>
    </xdr:from>
    <xdr:to>
      <xdr:col>5</xdr:col>
      <xdr:colOff>419100</xdr:colOff>
      <xdr:row>80</xdr:row>
      <xdr:rowOff>152400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7539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80</xdr:row>
      <xdr:rowOff>38100</xdr:rowOff>
    </xdr:from>
    <xdr:to>
      <xdr:col>5</xdr:col>
      <xdr:colOff>638175</xdr:colOff>
      <xdr:row>80</xdr:row>
      <xdr:rowOff>123825</xdr:rowOff>
    </xdr:to>
    <xdr:pic>
      <xdr:nvPicPr>
        <xdr:cNvPr id="126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127730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81</xdr:row>
      <xdr:rowOff>0</xdr:rowOff>
    </xdr:from>
    <xdr:to>
      <xdr:col>4</xdr:col>
      <xdr:colOff>400050</xdr:colOff>
      <xdr:row>81</xdr:row>
      <xdr:rowOff>142875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896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81</xdr:row>
      <xdr:rowOff>0</xdr:rowOff>
    </xdr:from>
    <xdr:to>
      <xdr:col>5</xdr:col>
      <xdr:colOff>419100</xdr:colOff>
      <xdr:row>81</xdr:row>
      <xdr:rowOff>133350</xdr:rowOff>
    </xdr:to>
    <xdr:pic>
      <xdr:nvPicPr>
        <xdr:cNvPr id="128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8968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81</xdr:row>
      <xdr:rowOff>9525</xdr:rowOff>
    </xdr:from>
    <xdr:to>
      <xdr:col>4</xdr:col>
      <xdr:colOff>400050</xdr:colOff>
      <xdr:row>81</xdr:row>
      <xdr:rowOff>152400</xdr:rowOff>
    </xdr:to>
    <xdr:pic>
      <xdr:nvPicPr>
        <xdr:cNvPr id="129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906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81</xdr:row>
      <xdr:rowOff>19050</xdr:rowOff>
    </xdr:from>
    <xdr:to>
      <xdr:col>5</xdr:col>
      <xdr:colOff>419100</xdr:colOff>
      <xdr:row>81</xdr:row>
      <xdr:rowOff>152400</xdr:rowOff>
    </xdr:to>
    <xdr:pic>
      <xdr:nvPicPr>
        <xdr:cNvPr id="130" name="Picture 1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9159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82</xdr:row>
      <xdr:rowOff>9525</xdr:rowOff>
    </xdr:from>
    <xdr:to>
      <xdr:col>4</xdr:col>
      <xdr:colOff>400050</xdr:colOff>
      <xdr:row>82</xdr:row>
      <xdr:rowOff>152400</xdr:rowOff>
    </xdr:to>
    <xdr:pic>
      <xdr:nvPicPr>
        <xdr:cNvPr id="131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068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82</xdr:row>
      <xdr:rowOff>38100</xdr:rowOff>
    </xdr:from>
    <xdr:to>
      <xdr:col>4</xdr:col>
      <xdr:colOff>638175</xdr:colOff>
      <xdr:row>82</xdr:row>
      <xdr:rowOff>123825</xdr:rowOff>
    </xdr:to>
    <xdr:pic>
      <xdr:nvPicPr>
        <xdr:cNvPr id="132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130968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82</xdr:row>
      <xdr:rowOff>19050</xdr:rowOff>
    </xdr:from>
    <xdr:to>
      <xdr:col>5</xdr:col>
      <xdr:colOff>419100</xdr:colOff>
      <xdr:row>82</xdr:row>
      <xdr:rowOff>152400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30778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82</xdr:row>
      <xdr:rowOff>38100</xdr:rowOff>
    </xdr:from>
    <xdr:to>
      <xdr:col>5</xdr:col>
      <xdr:colOff>638175</xdr:colOff>
      <xdr:row>82</xdr:row>
      <xdr:rowOff>123825</xdr:rowOff>
    </xdr:to>
    <xdr:pic>
      <xdr:nvPicPr>
        <xdr:cNvPr id="134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130968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9525</xdr:rowOff>
    </xdr:from>
    <xdr:to>
      <xdr:col>4</xdr:col>
      <xdr:colOff>400050</xdr:colOff>
      <xdr:row>41</xdr:row>
      <xdr:rowOff>152400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429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83</xdr:row>
      <xdr:rowOff>0</xdr:rowOff>
    </xdr:from>
    <xdr:to>
      <xdr:col>4</xdr:col>
      <xdr:colOff>400050</xdr:colOff>
      <xdr:row>83</xdr:row>
      <xdr:rowOff>142875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220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83</xdr:row>
      <xdr:rowOff>9525</xdr:rowOff>
    </xdr:from>
    <xdr:to>
      <xdr:col>4</xdr:col>
      <xdr:colOff>400050</xdr:colOff>
      <xdr:row>83</xdr:row>
      <xdr:rowOff>152400</xdr:rowOff>
    </xdr:to>
    <xdr:pic>
      <xdr:nvPicPr>
        <xdr:cNvPr id="137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230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84</xdr:row>
      <xdr:rowOff>9525</xdr:rowOff>
    </xdr:from>
    <xdr:to>
      <xdr:col>4</xdr:col>
      <xdr:colOff>400050</xdr:colOff>
      <xdr:row>84</xdr:row>
      <xdr:rowOff>152400</xdr:rowOff>
    </xdr:to>
    <xdr:pic>
      <xdr:nvPicPr>
        <xdr:cNvPr id="138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3921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85</xdr:row>
      <xdr:rowOff>9525</xdr:rowOff>
    </xdr:from>
    <xdr:to>
      <xdr:col>4</xdr:col>
      <xdr:colOff>400050</xdr:colOff>
      <xdr:row>85</xdr:row>
      <xdr:rowOff>152400</xdr:rowOff>
    </xdr:to>
    <xdr:pic>
      <xdr:nvPicPr>
        <xdr:cNvPr id="139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554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86</xdr:row>
      <xdr:rowOff>9525</xdr:rowOff>
    </xdr:from>
    <xdr:to>
      <xdr:col>4</xdr:col>
      <xdr:colOff>400050</xdr:colOff>
      <xdr:row>86</xdr:row>
      <xdr:rowOff>152400</xdr:rowOff>
    </xdr:to>
    <xdr:pic>
      <xdr:nvPicPr>
        <xdr:cNvPr id="140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7160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86</xdr:row>
      <xdr:rowOff>19050</xdr:rowOff>
    </xdr:from>
    <xdr:to>
      <xdr:col>5</xdr:col>
      <xdr:colOff>419100</xdr:colOff>
      <xdr:row>86</xdr:row>
      <xdr:rowOff>152400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37255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45</xdr:row>
      <xdr:rowOff>0</xdr:rowOff>
    </xdr:from>
    <xdr:to>
      <xdr:col>4</xdr:col>
      <xdr:colOff>400050</xdr:colOff>
      <xdr:row>45</xdr:row>
      <xdr:rowOff>142875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067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45</xdr:row>
      <xdr:rowOff>9525</xdr:rowOff>
    </xdr:from>
    <xdr:to>
      <xdr:col>4</xdr:col>
      <xdr:colOff>400050</xdr:colOff>
      <xdr:row>45</xdr:row>
      <xdr:rowOff>152400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077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88</xdr:row>
      <xdr:rowOff>0</xdr:rowOff>
    </xdr:from>
    <xdr:to>
      <xdr:col>4</xdr:col>
      <xdr:colOff>400050</xdr:colOff>
      <xdr:row>88</xdr:row>
      <xdr:rowOff>142875</xdr:rowOff>
    </xdr:to>
    <xdr:pic>
      <xdr:nvPicPr>
        <xdr:cNvPr id="144" name="Picture 1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030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88</xdr:row>
      <xdr:rowOff>0</xdr:rowOff>
    </xdr:from>
    <xdr:to>
      <xdr:col>5</xdr:col>
      <xdr:colOff>419100</xdr:colOff>
      <xdr:row>88</xdr:row>
      <xdr:rowOff>133350</xdr:rowOff>
    </xdr:to>
    <xdr:pic>
      <xdr:nvPicPr>
        <xdr:cNvPr id="145" name="Picture 1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4030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88</xdr:row>
      <xdr:rowOff>9525</xdr:rowOff>
    </xdr:from>
    <xdr:to>
      <xdr:col>4</xdr:col>
      <xdr:colOff>400050</xdr:colOff>
      <xdr:row>88</xdr:row>
      <xdr:rowOff>152400</xdr:rowOff>
    </xdr:to>
    <xdr:pic>
      <xdr:nvPicPr>
        <xdr:cNvPr id="146" name="Picture 1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039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88</xdr:row>
      <xdr:rowOff>19050</xdr:rowOff>
    </xdr:from>
    <xdr:to>
      <xdr:col>5</xdr:col>
      <xdr:colOff>419100</xdr:colOff>
      <xdr:row>88</xdr:row>
      <xdr:rowOff>152400</xdr:rowOff>
    </xdr:to>
    <xdr:pic>
      <xdr:nvPicPr>
        <xdr:cNvPr id="147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40493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75</xdr:row>
      <xdr:rowOff>0</xdr:rowOff>
    </xdr:from>
    <xdr:to>
      <xdr:col>4</xdr:col>
      <xdr:colOff>400050</xdr:colOff>
      <xdr:row>75</xdr:row>
      <xdr:rowOff>142875</xdr:rowOff>
    </xdr:to>
    <xdr:pic>
      <xdr:nvPicPr>
        <xdr:cNvPr id="148" name="Picture 1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925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75</xdr:row>
      <xdr:rowOff>0</xdr:rowOff>
    </xdr:from>
    <xdr:to>
      <xdr:col>5</xdr:col>
      <xdr:colOff>419100</xdr:colOff>
      <xdr:row>75</xdr:row>
      <xdr:rowOff>133350</xdr:rowOff>
    </xdr:to>
    <xdr:pic>
      <xdr:nvPicPr>
        <xdr:cNvPr id="149" name="Picture 1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925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75</xdr:row>
      <xdr:rowOff>0</xdr:rowOff>
    </xdr:from>
    <xdr:to>
      <xdr:col>4</xdr:col>
      <xdr:colOff>400050</xdr:colOff>
      <xdr:row>75</xdr:row>
      <xdr:rowOff>142875</xdr:rowOff>
    </xdr:to>
    <xdr:pic>
      <xdr:nvPicPr>
        <xdr:cNvPr id="150" name="Picture 1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925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75</xdr:row>
      <xdr:rowOff>0</xdr:rowOff>
    </xdr:from>
    <xdr:to>
      <xdr:col>5</xdr:col>
      <xdr:colOff>419100</xdr:colOff>
      <xdr:row>75</xdr:row>
      <xdr:rowOff>133350</xdr:rowOff>
    </xdr:to>
    <xdr:pic>
      <xdr:nvPicPr>
        <xdr:cNvPr id="151" name="Picture 1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925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75</xdr:row>
      <xdr:rowOff>9525</xdr:rowOff>
    </xdr:from>
    <xdr:to>
      <xdr:col>4</xdr:col>
      <xdr:colOff>400050</xdr:colOff>
      <xdr:row>75</xdr:row>
      <xdr:rowOff>152400</xdr:rowOff>
    </xdr:to>
    <xdr:pic>
      <xdr:nvPicPr>
        <xdr:cNvPr id="152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1934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75</xdr:row>
      <xdr:rowOff>19050</xdr:rowOff>
    </xdr:from>
    <xdr:to>
      <xdr:col>5</xdr:col>
      <xdr:colOff>419100</xdr:colOff>
      <xdr:row>75</xdr:row>
      <xdr:rowOff>152400</xdr:rowOff>
    </xdr:to>
    <xdr:pic>
      <xdr:nvPicPr>
        <xdr:cNvPr id="153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9443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89</xdr:row>
      <xdr:rowOff>9525</xdr:rowOff>
    </xdr:from>
    <xdr:to>
      <xdr:col>4</xdr:col>
      <xdr:colOff>400050</xdr:colOff>
      <xdr:row>89</xdr:row>
      <xdr:rowOff>152400</xdr:rowOff>
    </xdr:to>
    <xdr:pic>
      <xdr:nvPicPr>
        <xdr:cNvPr id="154" name="Picture 1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201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89</xdr:row>
      <xdr:rowOff>19050</xdr:rowOff>
    </xdr:from>
    <xdr:to>
      <xdr:col>5</xdr:col>
      <xdr:colOff>419100</xdr:colOff>
      <xdr:row>89</xdr:row>
      <xdr:rowOff>152400</xdr:rowOff>
    </xdr:to>
    <xdr:pic>
      <xdr:nvPicPr>
        <xdr:cNvPr id="155" name="Picture 1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4211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90</xdr:row>
      <xdr:rowOff>9525</xdr:rowOff>
    </xdr:from>
    <xdr:to>
      <xdr:col>4</xdr:col>
      <xdr:colOff>400050</xdr:colOff>
      <xdr:row>90</xdr:row>
      <xdr:rowOff>152400</xdr:rowOff>
    </xdr:to>
    <xdr:pic>
      <xdr:nvPicPr>
        <xdr:cNvPr id="156" name="Picture 1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363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90</xdr:row>
      <xdr:rowOff>38100</xdr:rowOff>
    </xdr:from>
    <xdr:to>
      <xdr:col>4</xdr:col>
      <xdr:colOff>638175</xdr:colOff>
      <xdr:row>90</xdr:row>
      <xdr:rowOff>123825</xdr:rowOff>
    </xdr:to>
    <xdr:pic>
      <xdr:nvPicPr>
        <xdr:cNvPr id="157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14392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90</xdr:row>
      <xdr:rowOff>19050</xdr:rowOff>
    </xdr:from>
    <xdr:to>
      <xdr:col>5</xdr:col>
      <xdr:colOff>419100</xdr:colOff>
      <xdr:row>90</xdr:row>
      <xdr:rowOff>152400</xdr:rowOff>
    </xdr:to>
    <xdr:pic>
      <xdr:nvPicPr>
        <xdr:cNvPr id="158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43732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90</xdr:row>
      <xdr:rowOff>38100</xdr:rowOff>
    </xdr:from>
    <xdr:to>
      <xdr:col>5</xdr:col>
      <xdr:colOff>638175</xdr:colOff>
      <xdr:row>90</xdr:row>
      <xdr:rowOff>123825</xdr:rowOff>
    </xdr:to>
    <xdr:pic>
      <xdr:nvPicPr>
        <xdr:cNvPr id="159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14392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17</xdr:row>
      <xdr:rowOff>47625</xdr:rowOff>
    </xdr:from>
    <xdr:to>
      <xdr:col>4</xdr:col>
      <xdr:colOff>647700</xdr:colOff>
      <xdr:row>17</xdr:row>
      <xdr:rowOff>133350</xdr:rowOff>
    </xdr:to>
    <xdr:pic>
      <xdr:nvPicPr>
        <xdr:cNvPr id="160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2581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30</xdr:row>
      <xdr:rowOff>9525</xdr:rowOff>
    </xdr:from>
    <xdr:to>
      <xdr:col>4</xdr:col>
      <xdr:colOff>400050</xdr:colOff>
      <xdr:row>30</xdr:row>
      <xdr:rowOff>152400</xdr:rowOff>
    </xdr:to>
    <xdr:pic>
      <xdr:nvPicPr>
        <xdr:cNvPr id="161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4648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30</xdr:row>
      <xdr:rowOff>19050</xdr:rowOff>
    </xdr:from>
    <xdr:to>
      <xdr:col>5</xdr:col>
      <xdr:colOff>419100</xdr:colOff>
      <xdr:row>30</xdr:row>
      <xdr:rowOff>152400</xdr:rowOff>
    </xdr:to>
    <xdr:pic>
      <xdr:nvPicPr>
        <xdr:cNvPr id="162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46577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38</xdr:row>
      <xdr:rowOff>19050</xdr:rowOff>
    </xdr:from>
    <xdr:to>
      <xdr:col>5</xdr:col>
      <xdr:colOff>419100</xdr:colOff>
      <xdr:row>38</xdr:row>
      <xdr:rowOff>152400</xdr:rowOff>
    </xdr:to>
    <xdr:pic>
      <xdr:nvPicPr>
        <xdr:cNvPr id="163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59531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9525</xdr:rowOff>
    </xdr:from>
    <xdr:to>
      <xdr:col>4</xdr:col>
      <xdr:colOff>400050</xdr:colOff>
      <xdr:row>38</xdr:row>
      <xdr:rowOff>152400</xdr:rowOff>
    </xdr:to>
    <xdr:pic>
      <xdr:nvPicPr>
        <xdr:cNvPr id="164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5943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46</xdr:row>
      <xdr:rowOff>9525</xdr:rowOff>
    </xdr:from>
    <xdr:to>
      <xdr:col>4</xdr:col>
      <xdr:colOff>400050</xdr:colOff>
      <xdr:row>46</xdr:row>
      <xdr:rowOff>152400</xdr:rowOff>
    </xdr:to>
    <xdr:pic>
      <xdr:nvPicPr>
        <xdr:cNvPr id="165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72390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58</xdr:row>
      <xdr:rowOff>9525</xdr:rowOff>
    </xdr:from>
    <xdr:to>
      <xdr:col>4</xdr:col>
      <xdr:colOff>400050</xdr:colOff>
      <xdr:row>58</xdr:row>
      <xdr:rowOff>152400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182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58</xdr:row>
      <xdr:rowOff>19050</xdr:rowOff>
    </xdr:from>
    <xdr:to>
      <xdr:col>5</xdr:col>
      <xdr:colOff>419100</xdr:colOff>
      <xdr:row>58</xdr:row>
      <xdr:rowOff>152400</xdr:rowOff>
    </xdr:to>
    <xdr:pic>
      <xdr:nvPicPr>
        <xdr:cNvPr id="167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1916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466725</xdr:colOff>
      <xdr:row>71</xdr:row>
      <xdr:rowOff>38100</xdr:rowOff>
    </xdr:from>
    <xdr:to>
      <xdr:col>4</xdr:col>
      <xdr:colOff>628650</xdr:colOff>
      <xdr:row>71</xdr:row>
      <xdr:rowOff>123825</xdr:rowOff>
    </xdr:to>
    <xdr:pic>
      <xdr:nvPicPr>
        <xdr:cNvPr id="168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67150" y="113157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87</xdr:row>
      <xdr:rowOff>9525</xdr:rowOff>
    </xdr:from>
    <xdr:to>
      <xdr:col>4</xdr:col>
      <xdr:colOff>400050</xdr:colOff>
      <xdr:row>87</xdr:row>
      <xdr:rowOff>152400</xdr:rowOff>
    </xdr:to>
    <xdr:pic>
      <xdr:nvPicPr>
        <xdr:cNvPr id="169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3877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67</xdr:row>
      <xdr:rowOff>19050</xdr:rowOff>
    </xdr:from>
    <xdr:to>
      <xdr:col>5</xdr:col>
      <xdr:colOff>419100</xdr:colOff>
      <xdr:row>67</xdr:row>
      <xdr:rowOff>152400</xdr:rowOff>
    </xdr:to>
    <xdr:pic>
      <xdr:nvPicPr>
        <xdr:cNvPr id="170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6489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57</xdr:row>
      <xdr:rowOff>9525</xdr:rowOff>
    </xdr:from>
    <xdr:to>
      <xdr:col>5</xdr:col>
      <xdr:colOff>419100</xdr:colOff>
      <xdr:row>57</xdr:row>
      <xdr:rowOff>142875</xdr:rowOff>
    </xdr:to>
    <xdr:pic>
      <xdr:nvPicPr>
        <xdr:cNvPr id="171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90201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70</xdr:row>
      <xdr:rowOff>19050</xdr:rowOff>
    </xdr:from>
    <xdr:to>
      <xdr:col>5</xdr:col>
      <xdr:colOff>419100</xdr:colOff>
      <xdr:row>70</xdr:row>
      <xdr:rowOff>152400</xdr:rowOff>
    </xdr:to>
    <xdr:pic>
      <xdr:nvPicPr>
        <xdr:cNvPr id="172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11347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69</xdr:row>
      <xdr:rowOff>28575</xdr:rowOff>
    </xdr:from>
    <xdr:to>
      <xdr:col>5</xdr:col>
      <xdr:colOff>419100</xdr:colOff>
      <xdr:row>69</xdr:row>
      <xdr:rowOff>161925</xdr:rowOff>
    </xdr:to>
    <xdr:pic>
      <xdr:nvPicPr>
        <xdr:cNvPr id="173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09823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419100</xdr:colOff>
      <xdr:row>23</xdr:row>
      <xdr:rowOff>142875</xdr:rowOff>
    </xdr:to>
    <xdr:pic>
      <xdr:nvPicPr>
        <xdr:cNvPr id="174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51472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42</xdr:row>
      <xdr:rowOff>19050</xdr:rowOff>
    </xdr:from>
    <xdr:to>
      <xdr:col>4</xdr:col>
      <xdr:colOff>400050</xdr:colOff>
      <xdr:row>42</xdr:row>
      <xdr:rowOff>161925</xdr:rowOff>
    </xdr:to>
    <xdr:pic>
      <xdr:nvPicPr>
        <xdr:cNvPr id="175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6600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42</xdr:row>
      <xdr:rowOff>28575</xdr:rowOff>
    </xdr:from>
    <xdr:to>
      <xdr:col>5</xdr:col>
      <xdr:colOff>419100</xdr:colOff>
      <xdr:row>42</xdr:row>
      <xdr:rowOff>161925</xdr:rowOff>
    </xdr:to>
    <xdr:pic>
      <xdr:nvPicPr>
        <xdr:cNvPr id="176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66103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45</xdr:row>
      <xdr:rowOff>133350</xdr:rowOff>
    </xdr:from>
    <xdr:to>
      <xdr:col>5</xdr:col>
      <xdr:colOff>419100</xdr:colOff>
      <xdr:row>46</xdr:row>
      <xdr:rowOff>104775</xdr:rowOff>
    </xdr:to>
    <xdr:pic>
      <xdr:nvPicPr>
        <xdr:cNvPr id="177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72009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76</xdr:row>
      <xdr:rowOff>9525</xdr:rowOff>
    </xdr:from>
    <xdr:to>
      <xdr:col>4</xdr:col>
      <xdr:colOff>400050</xdr:colOff>
      <xdr:row>76</xdr:row>
      <xdr:rowOff>152400</xdr:rowOff>
    </xdr:to>
    <xdr:pic>
      <xdr:nvPicPr>
        <xdr:cNvPr id="178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096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76</xdr:row>
      <xdr:rowOff>19050</xdr:rowOff>
    </xdr:from>
    <xdr:to>
      <xdr:col>5</xdr:col>
      <xdr:colOff>419100</xdr:colOff>
      <xdr:row>76</xdr:row>
      <xdr:rowOff>152400</xdr:rowOff>
    </xdr:to>
    <xdr:pic>
      <xdr:nvPicPr>
        <xdr:cNvPr id="179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106275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77</xdr:row>
      <xdr:rowOff>9525</xdr:rowOff>
    </xdr:from>
    <xdr:to>
      <xdr:col>4</xdr:col>
      <xdr:colOff>400050</xdr:colOff>
      <xdr:row>77</xdr:row>
      <xdr:rowOff>152400</xdr:rowOff>
    </xdr:to>
    <xdr:pic>
      <xdr:nvPicPr>
        <xdr:cNvPr id="180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258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219075</xdr:colOff>
      <xdr:row>77</xdr:row>
      <xdr:rowOff>19050</xdr:rowOff>
    </xdr:from>
    <xdr:to>
      <xdr:col>5</xdr:col>
      <xdr:colOff>419100</xdr:colOff>
      <xdr:row>77</xdr:row>
      <xdr:rowOff>152400</xdr:rowOff>
    </xdr:to>
    <xdr:pic>
      <xdr:nvPicPr>
        <xdr:cNvPr id="181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122682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91</xdr:row>
      <xdr:rowOff>9525</xdr:rowOff>
    </xdr:from>
    <xdr:to>
      <xdr:col>4</xdr:col>
      <xdr:colOff>400050</xdr:colOff>
      <xdr:row>91</xdr:row>
      <xdr:rowOff>152400</xdr:rowOff>
    </xdr:to>
    <xdr:pic>
      <xdr:nvPicPr>
        <xdr:cNvPr id="182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4525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257175</xdr:colOff>
      <xdr:row>93</xdr:row>
      <xdr:rowOff>38100</xdr:rowOff>
    </xdr:from>
    <xdr:to>
      <xdr:col>0</xdr:col>
      <xdr:colOff>419100</xdr:colOff>
      <xdr:row>93</xdr:row>
      <xdr:rowOff>123825</xdr:rowOff>
    </xdr:to>
    <xdr:pic>
      <xdr:nvPicPr>
        <xdr:cNvPr id="183" name="image116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8780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19050</xdr:rowOff>
    </xdr:from>
    <xdr:to>
      <xdr:col>7</xdr:col>
      <xdr:colOff>0</xdr:colOff>
      <xdr:row>6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3404"/>
        <a:stretch>
          <a:fillRect/>
        </a:stretch>
      </xdr:blipFill>
      <xdr:spPr>
        <a:xfrm>
          <a:off x="8324850" y="1905000"/>
          <a:ext cx="1485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3</xdr:row>
      <xdr:rowOff>228600</xdr:rowOff>
    </xdr:from>
    <xdr:to>
      <xdr:col>5</xdr:col>
      <xdr:colOff>1314450</xdr:colOff>
      <xdr:row>5</xdr:row>
      <xdr:rowOff>180975</xdr:rowOff>
    </xdr:to>
    <xdr:pic>
      <xdr:nvPicPr>
        <xdr:cNvPr id="2" name="Изображения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2114550"/>
          <a:ext cx="2486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1266825</xdr:rowOff>
    </xdr:from>
    <xdr:to>
      <xdr:col>4</xdr:col>
      <xdr:colOff>1438275</xdr:colOff>
      <xdr:row>0</xdr:row>
      <xdr:rowOff>1428750</xdr:rowOff>
    </xdr:to>
    <xdr:sp>
      <xdr:nvSpPr>
        <xdr:cNvPr id="3" name="Rectangle 13"/>
        <xdr:cNvSpPr>
          <a:spLocks/>
        </xdr:cNvSpPr>
      </xdr:nvSpPr>
      <xdr:spPr>
        <a:xfrm>
          <a:off x="3990975" y="1266825"/>
          <a:ext cx="2657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1200150</xdr:rowOff>
    </xdr:from>
    <xdr:to>
      <xdr:col>2</xdr:col>
      <xdr:colOff>276225</xdr:colOff>
      <xdr:row>0</xdr:row>
      <xdr:rowOff>1485900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0" y="1200150"/>
          <a:ext cx="2486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43</xdr:row>
      <xdr:rowOff>95250</xdr:rowOff>
    </xdr:from>
    <xdr:to>
      <xdr:col>6</xdr:col>
      <xdr:colOff>1457325</xdr:colOff>
      <xdr:row>45</xdr:row>
      <xdr:rowOff>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153650"/>
          <a:ext cx="9782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1104900</xdr:colOff>
      <xdr:row>0</xdr:row>
      <xdr:rowOff>1162050</xdr:rowOff>
    </xdr:to>
    <xdr:pic>
      <xdr:nvPicPr>
        <xdr:cNvPr id="6" name="Picture 21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877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45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12">
          <a:hlinkClick r:id="rId3"/>
        </xdr:cNvPr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>
    <xdr:from>
      <xdr:col>7</xdr:col>
      <xdr:colOff>790575</xdr:colOff>
      <xdr:row>0</xdr:row>
      <xdr:rowOff>38100</xdr:rowOff>
    </xdr:from>
    <xdr:to>
      <xdr:col>9</xdr:col>
      <xdr:colOff>0</xdr:colOff>
      <xdr:row>1</xdr:row>
      <xdr:rowOff>0</xdr:rowOff>
    </xdr:to>
    <xdr:sp>
      <xdr:nvSpPr>
        <xdr:cNvPr id="4" name="Rectangle 14">
          <a:hlinkClick r:id="rId4"/>
        </xdr:cNvPr>
        <xdr:cNvSpPr>
          <a:spLocks/>
        </xdr:cNvSpPr>
      </xdr:nvSpPr>
      <xdr:spPr>
        <a:xfrm>
          <a:off x="7315200" y="38100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1</xdr:row>
      <xdr:rowOff>676275</xdr:rowOff>
    </xdr:to>
    <xdr:pic>
      <xdr:nvPicPr>
        <xdr:cNvPr id="5" name="Picture 10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79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9</xdr:row>
      <xdr:rowOff>19050</xdr:rowOff>
    </xdr:from>
    <xdr:to>
      <xdr:col>2</xdr:col>
      <xdr:colOff>381000</xdr:colOff>
      <xdr:row>9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2943225"/>
          <a:ext cx="695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9</xdr:row>
      <xdr:rowOff>28575</xdr:rowOff>
    </xdr:from>
    <xdr:to>
      <xdr:col>4</xdr:col>
      <xdr:colOff>314325</xdr:colOff>
      <xdr:row>9</xdr:row>
      <xdr:rowOff>581025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2952750"/>
          <a:ext cx="7334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457200</xdr:colOff>
      <xdr:row>9</xdr:row>
      <xdr:rowOff>28575</xdr:rowOff>
    </xdr:from>
    <xdr:to>
      <xdr:col>6</xdr:col>
      <xdr:colOff>419100</xdr:colOff>
      <xdr:row>9</xdr:row>
      <xdr:rowOff>552450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2952750"/>
          <a:ext cx="7715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0</xdr:colOff>
      <xdr:row>61</xdr:row>
      <xdr:rowOff>161925</xdr:rowOff>
    </xdr:to>
    <xdr:pic>
      <xdr:nvPicPr>
        <xdr:cNvPr id="9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63525"/>
          <a:ext cx="81438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762000</xdr:rowOff>
    </xdr:from>
    <xdr:to>
      <xdr:col>0</xdr:col>
      <xdr:colOff>1390650</xdr:colOff>
      <xdr:row>1</xdr:row>
      <xdr:rowOff>1047750</xdr:rowOff>
    </xdr:to>
    <xdr:sp>
      <xdr:nvSpPr>
        <xdr:cNvPr id="10" name="Rectangle 14">
          <a:hlinkClick r:id="rId9"/>
        </xdr:cNvPr>
        <xdr:cNvSpPr>
          <a:spLocks/>
        </xdr:cNvSpPr>
      </xdr:nvSpPr>
      <xdr:spPr>
        <a:xfrm>
          <a:off x="0" y="962025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533400</xdr:colOff>
      <xdr:row>1</xdr:row>
      <xdr:rowOff>790575</xdr:rowOff>
    </xdr:from>
    <xdr:to>
      <xdr:col>5</xdr:col>
      <xdr:colOff>800100</xdr:colOff>
      <xdr:row>1</xdr:row>
      <xdr:rowOff>1009650</xdr:rowOff>
    </xdr:to>
    <xdr:sp>
      <xdr:nvSpPr>
        <xdr:cNvPr id="11" name="Rectangle 12">
          <a:hlinkClick r:id="rId10"/>
        </xdr:cNvPr>
        <xdr:cNvSpPr>
          <a:spLocks/>
        </xdr:cNvSpPr>
      </xdr:nvSpPr>
      <xdr:spPr>
        <a:xfrm>
          <a:off x="2200275" y="990600"/>
          <a:ext cx="3505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>
    <xdr:from>
      <xdr:col>7</xdr:col>
      <xdr:colOff>333375</xdr:colOff>
      <xdr:row>9</xdr:row>
      <xdr:rowOff>66675</xdr:rowOff>
    </xdr:from>
    <xdr:to>
      <xdr:col>8</xdr:col>
      <xdr:colOff>419100</xdr:colOff>
      <xdr:row>9</xdr:row>
      <xdr:rowOff>571500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0" y="2990850"/>
          <a:ext cx="895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28575</xdr:rowOff>
    </xdr:from>
    <xdr:to>
      <xdr:col>7</xdr:col>
      <xdr:colOff>638175</xdr:colOff>
      <xdr:row>1</xdr:row>
      <xdr:rowOff>352425</xdr:rowOff>
    </xdr:to>
    <xdr:pic>
      <xdr:nvPicPr>
        <xdr:cNvPr id="13" name="Изображения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0" y="28575"/>
          <a:ext cx="19240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333375</xdr:colOff>
      <xdr:row>52</xdr:row>
      <xdr:rowOff>0</xdr:rowOff>
    </xdr:from>
    <xdr:to>
      <xdr:col>7</xdr:col>
      <xdr:colOff>628650</xdr:colOff>
      <xdr:row>52</xdr:row>
      <xdr:rowOff>352425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0" y="10953750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342900</xdr:colOff>
      <xdr:row>9</xdr:row>
      <xdr:rowOff>47625</xdr:rowOff>
    </xdr:from>
    <xdr:to>
      <xdr:col>10</xdr:col>
      <xdr:colOff>371475</xdr:colOff>
      <xdr:row>9</xdr:row>
      <xdr:rowOff>561975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86775" y="2971800"/>
          <a:ext cx="838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9</xdr:row>
      <xdr:rowOff>19050</xdr:rowOff>
    </xdr:from>
    <xdr:to>
      <xdr:col>11</xdr:col>
      <xdr:colOff>1066800</xdr:colOff>
      <xdr:row>9</xdr:row>
      <xdr:rowOff>514350</xdr:rowOff>
    </xdr:to>
    <xdr:pic>
      <xdr:nvPicPr>
        <xdr:cNvPr id="16" name="Picture 1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115550" y="2943225"/>
          <a:ext cx="7143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1066800</xdr:colOff>
      <xdr:row>29</xdr:row>
      <xdr:rowOff>38100</xdr:rowOff>
    </xdr:from>
    <xdr:to>
      <xdr:col>0</xdr:col>
      <xdr:colOff>1323975</xdr:colOff>
      <xdr:row>30</xdr:row>
      <xdr:rowOff>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7096125"/>
          <a:ext cx="2667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552450</xdr:colOff>
      <xdr:row>4</xdr:row>
      <xdr:rowOff>200025</xdr:rowOff>
    </xdr:to>
    <xdr:pic>
      <xdr:nvPicPr>
        <xdr:cNvPr id="1" name="Picture 41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57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71</xdr:row>
      <xdr:rowOff>0</xdr:rowOff>
    </xdr:from>
    <xdr:to>
      <xdr:col>0</xdr:col>
      <xdr:colOff>466725</xdr:colOff>
      <xdr:row>72</xdr:row>
      <xdr:rowOff>19050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772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352425</xdr:colOff>
      <xdr:row>71</xdr:row>
      <xdr:rowOff>9525</xdr:rowOff>
    </xdr:from>
    <xdr:to>
      <xdr:col>2</xdr:col>
      <xdr:colOff>533400</xdr:colOff>
      <xdr:row>71</xdr:row>
      <xdr:rowOff>161925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11782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71</xdr:row>
      <xdr:rowOff>0</xdr:rowOff>
    </xdr:from>
    <xdr:to>
      <xdr:col>3</xdr:col>
      <xdr:colOff>409575</xdr:colOff>
      <xdr:row>72</xdr:row>
      <xdr:rowOff>0</xdr:rowOff>
    </xdr:to>
    <xdr:pic>
      <xdr:nvPicPr>
        <xdr:cNvPr id="4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1772900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71</xdr:row>
      <xdr:rowOff>9525</xdr:rowOff>
    </xdr:from>
    <xdr:to>
      <xdr:col>4</xdr:col>
      <xdr:colOff>419100</xdr:colOff>
      <xdr:row>71</xdr:row>
      <xdr:rowOff>161925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117824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74</xdr:row>
      <xdr:rowOff>0</xdr:rowOff>
    </xdr:from>
    <xdr:to>
      <xdr:col>0</xdr:col>
      <xdr:colOff>428625</xdr:colOff>
      <xdr:row>74</xdr:row>
      <xdr:rowOff>142875</xdr:rowOff>
    </xdr:to>
    <xdr:pic>
      <xdr:nvPicPr>
        <xdr:cNvPr id="6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22586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15</xdr:row>
      <xdr:rowOff>0</xdr:rowOff>
    </xdr:from>
    <xdr:to>
      <xdr:col>3</xdr:col>
      <xdr:colOff>457200</xdr:colOff>
      <xdr:row>16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19300" y="27051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457200</xdr:colOff>
      <xdr:row>17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867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10</xdr:row>
      <xdr:rowOff>0</xdr:rowOff>
    </xdr:from>
    <xdr:to>
      <xdr:col>3</xdr:col>
      <xdr:colOff>457200</xdr:colOff>
      <xdr:row>11</xdr:row>
      <xdr:rowOff>9525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18859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14</xdr:row>
      <xdr:rowOff>0</xdr:rowOff>
    </xdr:from>
    <xdr:to>
      <xdr:col>3</xdr:col>
      <xdr:colOff>457200</xdr:colOff>
      <xdr:row>15</xdr:row>
      <xdr:rowOff>19050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5431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17</xdr:row>
      <xdr:rowOff>0</xdr:rowOff>
    </xdr:from>
    <xdr:to>
      <xdr:col>3</xdr:col>
      <xdr:colOff>457200</xdr:colOff>
      <xdr:row>18</xdr:row>
      <xdr:rowOff>9525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30289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18</xdr:row>
      <xdr:rowOff>0</xdr:rowOff>
    </xdr:from>
    <xdr:to>
      <xdr:col>3</xdr:col>
      <xdr:colOff>457200</xdr:colOff>
      <xdr:row>19</xdr:row>
      <xdr:rowOff>19050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190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0</xdr:rowOff>
    </xdr:from>
    <xdr:to>
      <xdr:col>3</xdr:col>
      <xdr:colOff>457200</xdr:colOff>
      <xdr:row>19</xdr:row>
      <xdr:rowOff>9525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31908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457200</xdr:colOff>
      <xdr:row>13</xdr:row>
      <xdr:rowOff>19050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20980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457200</xdr:colOff>
      <xdr:row>14</xdr:row>
      <xdr:rowOff>19050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381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457200</xdr:colOff>
      <xdr:row>14</xdr:row>
      <xdr:rowOff>19050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381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21</xdr:row>
      <xdr:rowOff>0</xdr:rowOff>
    </xdr:from>
    <xdr:to>
      <xdr:col>3</xdr:col>
      <xdr:colOff>457200</xdr:colOff>
      <xdr:row>22</xdr:row>
      <xdr:rowOff>19050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6766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22</xdr:row>
      <xdr:rowOff>0</xdr:rowOff>
    </xdr:from>
    <xdr:to>
      <xdr:col>3</xdr:col>
      <xdr:colOff>457200</xdr:colOff>
      <xdr:row>23</xdr:row>
      <xdr:rowOff>19050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8385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23</xdr:row>
      <xdr:rowOff>0</xdr:rowOff>
    </xdr:from>
    <xdr:to>
      <xdr:col>3</xdr:col>
      <xdr:colOff>457200</xdr:colOff>
      <xdr:row>24</xdr:row>
      <xdr:rowOff>9525</xdr:rowOff>
    </xdr:to>
    <xdr:pic>
      <xdr:nvPicPr>
        <xdr:cNvPr id="1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0005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25</xdr:row>
      <xdr:rowOff>0</xdr:rowOff>
    </xdr:from>
    <xdr:to>
      <xdr:col>3</xdr:col>
      <xdr:colOff>457200</xdr:colOff>
      <xdr:row>26</xdr:row>
      <xdr:rowOff>19050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324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27</xdr:row>
      <xdr:rowOff>0</xdr:rowOff>
    </xdr:from>
    <xdr:to>
      <xdr:col>3</xdr:col>
      <xdr:colOff>457200</xdr:colOff>
      <xdr:row>28</xdr:row>
      <xdr:rowOff>19050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6482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27</xdr:row>
      <xdr:rowOff>0</xdr:rowOff>
    </xdr:from>
    <xdr:to>
      <xdr:col>3</xdr:col>
      <xdr:colOff>457200</xdr:colOff>
      <xdr:row>28</xdr:row>
      <xdr:rowOff>19050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6482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457200</xdr:colOff>
      <xdr:row>29</xdr:row>
      <xdr:rowOff>19050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8101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29</xdr:row>
      <xdr:rowOff>0</xdr:rowOff>
    </xdr:from>
    <xdr:to>
      <xdr:col>3</xdr:col>
      <xdr:colOff>457200</xdr:colOff>
      <xdr:row>30</xdr:row>
      <xdr:rowOff>19050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9720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30</xdr:row>
      <xdr:rowOff>0</xdr:rowOff>
    </xdr:from>
    <xdr:to>
      <xdr:col>3</xdr:col>
      <xdr:colOff>457200</xdr:colOff>
      <xdr:row>31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1339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31</xdr:row>
      <xdr:rowOff>0</xdr:rowOff>
    </xdr:from>
    <xdr:to>
      <xdr:col>3</xdr:col>
      <xdr:colOff>457200</xdr:colOff>
      <xdr:row>32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295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32</xdr:row>
      <xdr:rowOff>0</xdr:rowOff>
    </xdr:from>
    <xdr:to>
      <xdr:col>3</xdr:col>
      <xdr:colOff>457200</xdr:colOff>
      <xdr:row>33</xdr:row>
      <xdr:rowOff>19050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4578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41</xdr:row>
      <xdr:rowOff>9525</xdr:rowOff>
    </xdr:from>
    <xdr:to>
      <xdr:col>4</xdr:col>
      <xdr:colOff>438150</xdr:colOff>
      <xdr:row>41</xdr:row>
      <xdr:rowOff>161925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6924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34</xdr:row>
      <xdr:rowOff>0</xdr:rowOff>
    </xdr:from>
    <xdr:to>
      <xdr:col>3</xdr:col>
      <xdr:colOff>457200</xdr:colOff>
      <xdr:row>35</xdr:row>
      <xdr:rowOff>19050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781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35</xdr:row>
      <xdr:rowOff>0</xdr:rowOff>
    </xdr:from>
    <xdr:to>
      <xdr:col>3</xdr:col>
      <xdr:colOff>457200</xdr:colOff>
      <xdr:row>36</xdr:row>
      <xdr:rowOff>19050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943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37</xdr:row>
      <xdr:rowOff>0</xdr:rowOff>
    </xdr:from>
    <xdr:to>
      <xdr:col>3</xdr:col>
      <xdr:colOff>457200</xdr:colOff>
      <xdr:row>38</xdr:row>
      <xdr:rowOff>19050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674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24</xdr:row>
      <xdr:rowOff>0</xdr:rowOff>
    </xdr:from>
    <xdr:to>
      <xdr:col>3</xdr:col>
      <xdr:colOff>457200</xdr:colOff>
      <xdr:row>25</xdr:row>
      <xdr:rowOff>19050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1624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39</xdr:row>
      <xdr:rowOff>0</xdr:rowOff>
    </xdr:from>
    <xdr:to>
      <xdr:col>3</xdr:col>
      <xdr:colOff>457200</xdr:colOff>
      <xdr:row>40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591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40</xdr:row>
      <xdr:rowOff>0</xdr:rowOff>
    </xdr:from>
    <xdr:to>
      <xdr:col>3</xdr:col>
      <xdr:colOff>457200</xdr:colOff>
      <xdr:row>41</xdr:row>
      <xdr:rowOff>19050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753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42</xdr:row>
      <xdr:rowOff>0</xdr:rowOff>
    </xdr:from>
    <xdr:to>
      <xdr:col>3</xdr:col>
      <xdr:colOff>457200</xdr:colOff>
      <xdr:row>43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70770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44</xdr:row>
      <xdr:rowOff>0</xdr:rowOff>
    </xdr:from>
    <xdr:to>
      <xdr:col>3</xdr:col>
      <xdr:colOff>457200</xdr:colOff>
      <xdr:row>45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7400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51</xdr:row>
      <xdr:rowOff>152400</xdr:rowOff>
    </xdr:from>
    <xdr:to>
      <xdr:col>3</xdr:col>
      <xdr:colOff>419100</xdr:colOff>
      <xdr:row>53</xdr:row>
      <xdr:rowOff>0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90725" y="868680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26</xdr:row>
      <xdr:rowOff>0</xdr:rowOff>
    </xdr:from>
    <xdr:to>
      <xdr:col>3</xdr:col>
      <xdr:colOff>457200</xdr:colOff>
      <xdr:row>27</xdr:row>
      <xdr:rowOff>19050</xdr:rowOff>
    </xdr:to>
    <xdr:pic>
      <xdr:nvPicPr>
        <xdr:cNvPr id="3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486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46</xdr:row>
      <xdr:rowOff>19050</xdr:rowOff>
    </xdr:from>
    <xdr:to>
      <xdr:col>4</xdr:col>
      <xdr:colOff>457200</xdr:colOff>
      <xdr:row>47</xdr:row>
      <xdr:rowOff>9525</xdr:rowOff>
    </xdr:to>
    <xdr:pic>
      <xdr:nvPicPr>
        <xdr:cNvPr id="39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7743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54</xdr:row>
      <xdr:rowOff>9525</xdr:rowOff>
    </xdr:from>
    <xdr:to>
      <xdr:col>4</xdr:col>
      <xdr:colOff>438150</xdr:colOff>
      <xdr:row>54</xdr:row>
      <xdr:rowOff>161925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9029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55</xdr:row>
      <xdr:rowOff>9525</xdr:rowOff>
    </xdr:from>
    <xdr:to>
      <xdr:col>4</xdr:col>
      <xdr:colOff>438150</xdr:colOff>
      <xdr:row>55</xdr:row>
      <xdr:rowOff>161925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9191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57</xdr:row>
      <xdr:rowOff>0</xdr:rowOff>
    </xdr:from>
    <xdr:to>
      <xdr:col>3</xdr:col>
      <xdr:colOff>457200</xdr:colOff>
      <xdr:row>58</xdr:row>
      <xdr:rowOff>19050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9505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58</xdr:row>
      <xdr:rowOff>0</xdr:rowOff>
    </xdr:from>
    <xdr:to>
      <xdr:col>3</xdr:col>
      <xdr:colOff>457200</xdr:colOff>
      <xdr:row>59</xdr:row>
      <xdr:rowOff>19050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9667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59</xdr:row>
      <xdr:rowOff>9525</xdr:rowOff>
    </xdr:from>
    <xdr:to>
      <xdr:col>4</xdr:col>
      <xdr:colOff>438150</xdr:colOff>
      <xdr:row>59</xdr:row>
      <xdr:rowOff>161925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9839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60</xdr:row>
      <xdr:rowOff>9525</xdr:rowOff>
    </xdr:from>
    <xdr:to>
      <xdr:col>4</xdr:col>
      <xdr:colOff>438150</xdr:colOff>
      <xdr:row>60</xdr:row>
      <xdr:rowOff>161925</xdr:rowOff>
    </xdr:to>
    <xdr:pic>
      <xdr:nvPicPr>
        <xdr:cNvPr id="4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001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61</xdr:row>
      <xdr:rowOff>9525</xdr:rowOff>
    </xdr:from>
    <xdr:to>
      <xdr:col>4</xdr:col>
      <xdr:colOff>438150</xdr:colOff>
      <xdr:row>61</xdr:row>
      <xdr:rowOff>161925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163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51</xdr:row>
      <xdr:rowOff>9525</xdr:rowOff>
    </xdr:from>
    <xdr:to>
      <xdr:col>4</xdr:col>
      <xdr:colOff>438150</xdr:colOff>
      <xdr:row>51</xdr:row>
      <xdr:rowOff>161925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8543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65</xdr:row>
      <xdr:rowOff>9525</xdr:rowOff>
    </xdr:from>
    <xdr:to>
      <xdr:col>4</xdr:col>
      <xdr:colOff>438150</xdr:colOff>
      <xdr:row>65</xdr:row>
      <xdr:rowOff>161925</xdr:rowOff>
    </xdr:to>
    <xdr:pic>
      <xdr:nvPicPr>
        <xdr:cNvPr id="4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810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66</xdr:row>
      <xdr:rowOff>9525</xdr:rowOff>
    </xdr:from>
    <xdr:to>
      <xdr:col>4</xdr:col>
      <xdr:colOff>438150</xdr:colOff>
      <xdr:row>66</xdr:row>
      <xdr:rowOff>161925</xdr:rowOff>
    </xdr:to>
    <xdr:pic>
      <xdr:nvPicPr>
        <xdr:cNvPr id="49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972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13</xdr:row>
      <xdr:rowOff>19050</xdr:rowOff>
    </xdr:from>
    <xdr:to>
      <xdr:col>5</xdr:col>
      <xdr:colOff>457200</xdr:colOff>
      <xdr:row>13</xdr:row>
      <xdr:rowOff>152400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240030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30</xdr:row>
      <xdr:rowOff>19050</xdr:rowOff>
    </xdr:from>
    <xdr:to>
      <xdr:col>5</xdr:col>
      <xdr:colOff>457200</xdr:colOff>
      <xdr:row>30</xdr:row>
      <xdr:rowOff>161925</xdr:rowOff>
    </xdr:to>
    <xdr:pic>
      <xdr:nvPicPr>
        <xdr:cNvPr id="51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51530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31</xdr:row>
      <xdr:rowOff>19050</xdr:rowOff>
    </xdr:from>
    <xdr:to>
      <xdr:col>5</xdr:col>
      <xdr:colOff>457200</xdr:colOff>
      <xdr:row>31</xdr:row>
      <xdr:rowOff>161925</xdr:rowOff>
    </xdr:to>
    <xdr:pic>
      <xdr:nvPicPr>
        <xdr:cNvPr id="52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53149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35</xdr:row>
      <xdr:rowOff>19050</xdr:rowOff>
    </xdr:from>
    <xdr:to>
      <xdr:col>5</xdr:col>
      <xdr:colOff>457200</xdr:colOff>
      <xdr:row>35</xdr:row>
      <xdr:rowOff>161925</xdr:rowOff>
    </xdr:to>
    <xdr:pic>
      <xdr:nvPicPr>
        <xdr:cNvPr id="53" name="Picture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59626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39</xdr:row>
      <xdr:rowOff>19050</xdr:rowOff>
    </xdr:from>
    <xdr:to>
      <xdr:col>5</xdr:col>
      <xdr:colOff>457200</xdr:colOff>
      <xdr:row>39</xdr:row>
      <xdr:rowOff>161925</xdr:rowOff>
    </xdr:to>
    <xdr:pic>
      <xdr:nvPicPr>
        <xdr:cNvPr id="54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66103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38</xdr:row>
      <xdr:rowOff>19050</xdr:rowOff>
    </xdr:from>
    <xdr:to>
      <xdr:col>5</xdr:col>
      <xdr:colOff>457200</xdr:colOff>
      <xdr:row>38</xdr:row>
      <xdr:rowOff>161925</xdr:rowOff>
    </xdr:to>
    <xdr:pic>
      <xdr:nvPicPr>
        <xdr:cNvPr id="55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64484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28</xdr:row>
      <xdr:rowOff>19050</xdr:rowOff>
    </xdr:from>
    <xdr:to>
      <xdr:col>5</xdr:col>
      <xdr:colOff>457200</xdr:colOff>
      <xdr:row>28</xdr:row>
      <xdr:rowOff>161925</xdr:rowOff>
    </xdr:to>
    <xdr:pic>
      <xdr:nvPicPr>
        <xdr:cNvPr id="56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48291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40</xdr:row>
      <xdr:rowOff>19050</xdr:rowOff>
    </xdr:from>
    <xdr:to>
      <xdr:col>5</xdr:col>
      <xdr:colOff>457200</xdr:colOff>
      <xdr:row>40</xdr:row>
      <xdr:rowOff>161925</xdr:rowOff>
    </xdr:to>
    <xdr:pic>
      <xdr:nvPicPr>
        <xdr:cNvPr id="57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67722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24</xdr:row>
      <xdr:rowOff>19050</xdr:rowOff>
    </xdr:from>
    <xdr:to>
      <xdr:col>5</xdr:col>
      <xdr:colOff>457200</xdr:colOff>
      <xdr:row>24</xdr:row>
      <xdr:rowOff>161925</xdr:rowOff>
    </xdr:to>
    <xdr:pic>
      <xdr:nvPicPr>
        <xdr:cNvPr id="58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41814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8</xdr:row>
      <xdr:rowOff>152400</xdr:rowOff>
    </xdr:from>
    <xdr:to>
      <xdr:col>3</xdr:col>
      <xdr:colOff>457200</xdr:colOff>
      <xdr:row>10</xdr:row>
      <xdr:rowOff>9525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19300" y="17145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10</xdr:row>
      <xdr:rowOff>0</xdr:rowOff>
    </xdr:from>
    <xdr:to>
      <xdr:col>3</xdr:col>
      <xdr:colOff>457200</xdr:colOff>
      <xdr:row>11</xdr:row>
      <xdr:rowOff>9525</xdr:rowOff>
    </xdr:to>
    <xdr:pic>
      <xdr:nvPicPr>
        <xdr:cNvPr id="6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18859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11</xdr:row>
      <xdr:rowOff>0</xdr:rowOff>
    </xdr:from>
    <xdr:to>
      <xdr:col>3</xdr:col>
      <xdr:colOff>457200</xdr:colOff>
      <xdr:row>12</xdr:row>
      <xdr:rowOff>19050</xdr:rowOff>
    </xdr:to>
    <xdr:pic>
      <xdr:nvPicPr>
        <xdr:cNvPr id="6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047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11</xdr:row>
      <xdr:rowOff>9525</xdr:rowOff>
    </xdr:from>
    <xdr:to>
      <xdr:col>5</xdr:col>
      <xdr:colOff>457200</xdr:colOff>
      <xdr:row>11</xdr:row>
      <xdr:rowOff>152400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20574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457200</xdr:colOff>
      <xdr:row>13</xdr:row>
      <xdr:rowOff>19050</xdr:rowOff>
    </xdr:to>
    <xdr:pic>
      <xdr:nvPicPr>
        <xdr:cNvPr id="6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209800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15</xdr:row>
      <xdr:rowOff>19050</xdr:rowOff>
    </xdr:from>
    <xdr:to>
      <xdr:col>5</xdr:col>
      <xdr:colOff>466725</xdr:colOff>
      <xdr:row>15</xdr:row>
      <xdr:rowOff>161925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7241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19</xdr:row>
      <xdr:rowOff>9525</xdr:rowOff>
    </xdr:from>
    <xdr:to>
      <xdr:col>3</xdr:col>
      <xdr:colOff>466725</xdr:colOff>
      <xdr:row>20</xdr:row>
      <xdr:rowOff>28575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3362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20</xdr:row>
      <xdr:rowOff>0</xdr:rowOff>
    </xdr:from>
    <xdr:to>
      <xdr:col>3</xdr:col>
      <xdr:colOff>466725</xdr:colOff>
      <xdr:row>21</xdr:row>
      <xdr:rowOff>19050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35147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21</xdr:row>
      <xdr:rowOff>19050</xdr:rowOff>
    </xdr:from>
    <xdr:to>
      <xdr:col>5</xdr:col>
      <xdr:colOff>457200</xdr:colOff>
      <xdr:row>21</xdr:row>
      <xdr:rowOff>161925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36957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32</xdr:row>
      <xdr:rowOff>19050</xdr:rowOff>
    </xdr:from>
    <xdr:to>
      <xdr:col>5</xdr:col>
      <xdr:colOff>466725</xdr:colOff>
      <xdr:row>32</xdr:row>
      <xdr:rowOff>161925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54768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32</xdr:row>
      <xdr:rowOff>0</xdr:rowOff>
    </xdr:from>
    <xdr:to>
      <xdr:col>3</xdr:col>
      <xdr:colOff>457200</xdr:colOff>
      <xdr:row>33</xdr:row>
      <xdr:rowOff>19050</xdr:rowOff>
    </xdr:to>
    <xdr:pic>
      <xdr:nvPicPr>
        <xdr:cNvPr id="6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4578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0</xdr:rowOff>
    </xdr:from>
    <xdr:to>
      <xdr:col>3</xdr:col>
      <xdr:colOff>457200</xdr:colOff>
      <xdr:row>34</xdr:row>
      <xdr:rowOff>19050</xdr:rowOff>
    </xdr:to>
    <xdr:pic>
      <xdr:nvPicPr>
        <xdr:cNvPr id="7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6197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33</xdr:row>
      <xdr:rowOff>19050</xdr:rowOff>
    </xdr:from>
    <xdr:to>
      <xdr:col>5</xdr:col>
      <xdr:colOff>466725</xdr:colOff>
      <xdr:row>33</xdr:row>
      <xdr:rowOff>161925</xdr:rowOff>
    </xdr:to>
    <xdr:pic>
      <xdr:nvPicPr>
        <xdr:cNvPr id="71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56388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266700</xdr:colOff>
      <xdr:row>34</xdr:row>
      <xdr:rowOff>19050</xdr:rowOff>
    </xdr:from>
    <xdr:to>
      <xdr:col>5</xdr:col>
      <xdr:colOff>466725</xdr:colOff>
      <xdr:row>34</xdr:row>
      <xdr:rowOff>161925</xdr:rowOff>
    </xdr:to>
    <xdr:pic>
      <xdr:nvPicPr>
        <xdr:cNvPr id="72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58007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38</xdr:row>
      <xdr:rowOff>9525</xdr:rowOff>
    </xdr:from>
    <xdr:to>
      <xdr:col>3</xdr:col>
      <xdr:colOff>457200</xdr:colOff>
      <xdr:row>39</xdr:row>
      <xdr:rowOff>28575</xdr:rowOff>
    </xdr:to>
    <xdr:pic>
      <xdr:nvPicPr>
        <xdr:cNvPr id="7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4389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42</xdr:row>
      <xdr:rowOff>0</xdr:rowOff>
    </xdr:from>
    <xdr:to>
      <xdr:col>5</xdr:col>
      <xdr:colOff>438150</xdr:colOff>
      <xdr:row>42</xdr:row>
      <xdr:rowOff>142875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62325" y="70770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43</xdr:row>
      <xdr:rowOff>9525</xdr:rowOff>
    </xdr:from>
    <xdr:to>
      <xdr:col>3</xdr:col>
      <xdr:colOff>457200</xdr:colOff>
      <xdr:row>44</xdr:row>
      <xdr:rowOff>28575</xdr:rowOff>
    </xdr:to>
    <xdr:pic>
      <xdr:nvPicPr>
        <xdr:cNvPr id="7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72485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45</xdr:row>
      <xdr:rowOff>9525</xdr:rowOff>
    </xdr:from>
    <xdr:to>
      <xdr:col>3</xdr:col>
      <xdr:colOff>457200</xdr:colOff>
      <xdr:row>46</xdr:row>
      <xdr:rowOff>28575</xdr:rowOff>
    </xdr:to>
    <xdr:pic>
      <xdr:nvPicPr>
        <xdr:cNvPr id="7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7572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276225</xdr:colOff>
      <xdr:row>46</xdr:row>
      <xdr:rowOff>133350</xdr:rowOff>
    </xdr:from>
    <xdr:to>
      <xdr:col>3</xdr:col>
      <xdr:colOff>466725</xdr:colOff>
      <xdr:row>47</xdr:row>
      <xdr:rowOff>142875</xdr:rowOff>
    </xdr:to>
    <xdr:pic>
      <xdr:nvPicPr>
        <xdr:cNvPr id="7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78581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36</xdr:row>
      <xdr:rowOff>9525</xdr:rowOff>
    </xdr:from>
    <xdr:to>
      <xdr:col>3</xdr:col>
      <xdr:colOff>438150</xdr:colOff>
      <xdr:row>37</xdr:row>
      <xdr:rowOff>19050</xdr:rowOff>
    </xdr:to>
    <xdr:pic>
      <xdr:nvPicPr>
        <xdr:cNvPr id="78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0" y="61150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64</xdr:row>
      <xdr:rowOff>9525</xdr:rowOff>
    </xdr:from>
    <xdr:to>
      <xdr:col>4</xdr:col>
      <xdr:colOff>438150</xdr:colOff>
      <xdr:row>64</xdr:row>
      <xdr:rowOff>161925</xdr:rowOff>
    </xdr:to>
    <xdr:pic>
      <xdr:nvPicPr>
        <xdr:cNvPr id="79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6489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63</xdr:row>
      <xdr:rowOff>9525</xdr:rowOff>
    </xdr:from>
    <xdr:to>
      <xdr:col>4</xdr:col>
      <xdr:colOff>457200</xdr:colOff>
      <xdr:row>63</xdr:row>
      <xdr:rowOff>161925</xdr:rowOff>
    </xdr:to>
    <xdr:pic>
      <xdr:nvPicPr>
        <xdr:cNvPr id="80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104870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62</xdr:row>
      <xdr:rowOff>0</xdr:rowOff>
    </xdr:from>
    <xdr:to>
      <xdr:col>4</xdr:col>
      <xdr:colOff>438150</xdr:colOff>
      <xdr:row>62</xdr:row>
      <xdr:rowOff>152400</xdr:rowOff>
    </xdr:to>
    <xdr:pic>
      <xdr:nvPicPr>
        <xdr:cNvPr id="81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10315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47</xdr:row>
      <xdr:rowOff>142875</xdr:rowOff>
    </xdr:from>
    <xdr:to>
      <xdr:col>3</xdr:col>
      <xdr:colOff>466725</xdr:colOff>
      <xdr:row>49</xdr:row>
      <xdr:rowOff>0</xdr:rowOff>
    </xdr:to>
    <xdr:pic>
      <xdr:nvPicPr>
        <xdr:cNvPr id="8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80295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49</xdr:row>
      <xdr:rowOff>152400</xdr:rowOff>
    </xdr:from>
    <xdr:to>
      <xdr:col>3</xdr:col>
      <xdr:colOff>457200</xdr:colOff>
      <xdr:row>51</xdr:row>
      <xdr:rowOff>9525</xdr:rowOff>
    </xdr:to>
    <xdr:pic>
      <xdr:nvPicPr>
        <xdr:cNvPr id="8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8362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48</xdr:row>
      <xdr:rowOff>142875</xdr:rowOff>
    </xdr:from>
    <xdr:to>
      <xdr:col>3</xdr:col>
      <xdr:colOff>438150</xdr:colOff>
      <xdr:row>49</xdr:row>
      <xdr:rowOff>152400</xdr:rowOff>
    </xdr:to>
    <xdr:pic>
      <xdr:nvPicPr>
        <xdr:cNvPr id="84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819150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9</xdr:row>
      <xdr:rowOff>19050</xdr:rowOff>
    </xdr:from>
    <xdr:to>
      <xdr:col>5</xdr:col>
      <xdr:colOff>457200</xdr:colOff>
      <xdr:row>9</xdr:row>
      <xdr:rowOff>161925</xdr:rowOff>
    </xdr:to>
    <xdr:pic>
      <xdr:nvPicPr>
        <xdr:cNvPr id="85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17430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22</xdr:row>
      <xdr:rowOff>19050</xdr:rowOff>
    </xdr:from>
    <xdr:to>
      <xdr:col>5</xdr:col>
      <xdr:colOff>457200</xdr:colOff>
      <xdr:row>22</xdr:row>
      <xdr:rowOff>161925</xdr:rowOff>
    </xdr:to>
    <xdr:pic>
      <xdr:nvPicPr>
        <xdr:cNvPr id="86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81375" y="38576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152400</xdr:rowOff>
    </xdr:from>
    <xdr:to>
      <xdr:col>3</xdr:col>
      <xdr:colOff>428625</xdr:colOff>
      <xdr:row>54</xdr:row>
      <xdr:rowOff>0</xdr:rowOff>
    </xdr:to>
    <xdr:pic>
      <xdr:nvPicPr>
        <xdr:cNvPr id="87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0" y="88487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55</xdr:row>
      <xdr:rowOff>133350</xdr:rowOff>
    </xdr:from>
    <xdr:to>
      <xdr:col>3</xdr:col>
      <xdr:colOff>447675</xdr:colOff>
      <xdr:row>56</xdr:row>
      <xdr:rowOff>152400</xdr:rowOff>
    </xdr:to>
    <xdr:pic>
      <xdr:nvPicPr>
        <xdr:cNvPr id="8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93154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&#1099;%20&#1089;&#1072;&#1081;&#1090;\&#1044;&#1054;&#1052;%20&#1056;&#1059;\07_03_19_Plastics_DOM_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3D панели_распродажа"/>
      <sheetName val="акриловый камень Rubicone"/>
      <sheetName val="мойки в декорах камня Rubicone"/>
      <sheetName val="Silestone"/>
      <sheetName val="плитка Silestone"/>
      <sheetName val="Мойки Silestone"/>
      <sheetName val="DEKTON"/>
      <sheetName val="Invision"/>
      <sheetName val="KronoCompact"/>
      <sheetName val="Декоры KronoCompact"/>
      <sheetName val="KronoCompact Express"/>
      <sheetName val="пластик HPL"/>
      <sheetName val="Декоры HPL"/>
      <sheetName val="HPL_от 1 листа_Express"/>
      <sheetName val="HPL_трудногорючий"/>
      <sheetName val="Мультикор Slim Line"/>
      <sheetName val="Плиты MPB"/>
      <sheetName val="Контакты"/>
      <sheetName val="Corian_ванны и поддоны"/>
      <sheetName val="мойки в декорах камня Montelli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design-panel/invision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633309,30.7073906,17z/data=!3m1!4b1!4m5!3m4!1s0x0:0xf8323dd2f8de4a6a!8m2!3d46.4633309!4d30.7095793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Plastics-Moldova/@46.300327,28.6529506,17z/data=!3m1!4b1!4m5!3m4!1s0x0:0x9667d1c4202573b3!8m2!3d46.300327!4d28.6551393?hl=uk" TargetMode="External" /><Relationship Id="rId21" Type="http://schemas.openxmlformats.org/officeDocument/2006/relationships/hyperlink" Target="https://www.google.com/maps/place/Plastics-Moldova/@47.7691751,27.9279905,17z/data=!3m1!4b1!4m5!3m4!1s0x0:0x4f7f132262120428!8m2!3d47.7691751!4d27.9301792?hl=uk" TargetMode="External" /><Relationship Id="rId22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23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24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5" Type="http://schemas.openxmlformats.org/officeDocument/2006/relationships/hyperlink" Target="https://goo.gl/Bv0bUj" TargetMode="External" /><Relationship Id="rId26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7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8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9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0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1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2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33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34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35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36" Type="http://schemas.openxmlformats.org/officeDocument/2006/relationships/drawing" Target="../drawings/drawing20.xml" /><Relationship Id="rId37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quartz/silestone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quartz/moiki-silestone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32"/>
  <sheetViews>
    <sheetView tabSelected="1" zoomScalePageLayoutView="0" workbookViewId="0" topLeftCell="A1">
      <pane ySplit="1" topLeftCell="A118" activePane="bottomLeft" state="frozen"/>
      <selection pane="topLeft" activeCell="H23" sqref="H23"/>
      <selection pane="bottomLeft" activeCell="G126" sqref="G126"/>
    </sheetView>
  </sheetViews>
  <sheetFormatPr defaultColWidth="9.00390625" defaultRowHeight="12.75"/>
  <cols>
    <col min="1" max="1" width="39.50390625" style="0" customWidth="1"/>
    <col min="2" max="2" width="46.00390625" style="0" customWidth="1"/>
  </cols>
  <sheetData>
    <row r="1" spans="1:6" ht="93.75" customHeight="1">
      <c r="A1" s="417"/>
      <c r="B1" s="417"/>
      <c r="C1" s="2"/>
      <c r="D1" s="2"/>
      <c r="E1" s="2"/>
      <c r="F1" s="1"/>
    </row>
    <row r="2" spans="1:6" ht="16.5" customHeight="1">
      <c r="A2" s="420" t="s">
        <v>1132</v>
      </c>
      <c r="B2" s="420"/>
      <c r="C2" s="3"/>
      <c r="D2" s="3"/>
      <c r="E2" s="1"/>
      <c r="F2" s="1"/>
    </row>
    <row r="3" spans="1:6" ht="26.25" customHeight="1">
      <c r="A3" s="418" t="s">
        <v>264</v>
      </c>
      <c r="B3" s="418"/>
      <c r="C3" s="4"/>
      <c r="D3" s="3"/>
      <c r="E3" s="1"/>
      <c r="F3" s="1"/>
    </row>
    <row r="4" spans="1:4" ht="27.75" customHeight="1">
      <c r="A4" s="419" t="s">
        <v>265</v>
      </c>
      <c r="B4" s="416"/>
      <c r="C4" s="1"/>
      <c r="D4" s="1"/>
    </row>
    <row r="5" spans="1:4" ht="51.75" customHeight="1">
      <c r="A5" s="419"/>
      <c r="B5" s="416"/>
      <c r="C5" s="1"/>
      <c r="D5" s="1"/>
    </row>
    <row r="6" spans="1:4" ht="71.25" customHeight="1">
      <c r="A6" s="44" t="s">
        <v>266</v>
      </c>
      <c r="B6" s="6"/>
      <c r="C6" s="1"/>
      <c r="D6" s="1"/>
    </row>
    <row r="7" spans="1:4" ht="38.25" customHeight="1">
      <c r="A7" s="5" t="s">
        <v>267</v>
      </c>
      <c r="B7" s="416"/>
      <c r="C7" s="1"/>
      <c r="D7" s="1"/>
    </row>
    <row r="8" spans="1:4" ht="34.5" customHeight="1">
      <c r="A8" s="44" t="s">
        <v>268</v>
      </c>
      <c r="B8" s="416"/>
      <c r="C8" s="1"/>
      <c r="D8" s="1"/>
    </row>
    <row r="9" spans="1:4" ht="45" customHeight="1">
      <c r="A9" s="44" t="s">
        <v>272</v>
      </c>
      <c r="B9" s="416"/>
      <c r="C9" s="1"/>
      <c r="D9" s="1"/>
    </row>
    <row r="10" spans="1:4" ht="76.5" customHeight="1">
      <c r="A10" s="44" t="s">
        <v>123</v>
      </c>
      <c r="B10" s="78"/>
      <c r="C10" s="1"/>
      <c r="D10" s="1"/>
    </row>
    <row r="11" spans="1:4" ht="83.25" customHeight="1">
      <c r="A11" s="5" t="s">
        <v>269</v>
      </c>
      <c r="B11" s="7"/>
      <c r="C11" s="1"/>
      <c r="D11" s="1"/>
    </row>
    <row r="12" spans="1:4" ht="72.75" customHeight="1">
      <c r="A12" s="5" t="s">
        <v>270</v>
      </c>
      <c r="B12" s="6"/>
      <c r="C12" s="1"/>
      <c r="D12" s="1"/>
    </row>
    <row r="13" spans="1:4" ht="37.5" customHeight="1">
      <c r="A13" s="44" t="s">
        <v>126</v>
      </c>
      <c r="B13" s="414"/>
      <c r="C13" s="1"/>
      <c r="D13" s="1"/>
    </row>
    <row r="14" spans="1:4" ht="45" customHeight="1">
      <c r="A14" s="44" t="s">
        <v>271</v>
      </c>
      <c r="B14" s="415"/>
      <c r="C14" s="1"/>
      <c r="D14" s="1"/>
    </row>
    <row r="15" spans="1:4" ht="12.75">
      <c r="A15" s="8"/>
      <c r="C15" s="1"/>
      <c r="D15" s="1"/>
    </row>
    <row r="16" spans="1:4" ht="12.75">
      <c r="A16" s="8"/>
      <c r="B16" s="9"/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131" spans="1:2" ht="12.75">
      <c r="A131" s="380" t="s">
        <v>1006</v>
      </c>
      <c r="B131" s="380">
        <v>33.9</v>
      </c>
    </row>
    <row r="132" spans="1:2" ht="12.75">
      <c r="A132" s="169" t="s">
        <v>1007</v>
      </c>
      <c r="B132" s="169">
        <v>28.2</v>
      </c>
    </row>
  </sheetData>
  <sheetProtection selectLockedCells="1" selectUnlockedCells="1"/>
  <mergeCells count="7">
    <mergeCell ref="B13:B14"/>
    <mergeCell ref="B7:B9"/>
    <mergeCell ref="A1:B1"/>
    <mergeCell ref="A3:B3"/>
    <mergeCell ref="A4:A5"/>
    <mergeCell ref="B4:B5"/>
    <mergeCell ref="A2:B2"/>
  </mergeCells>
  <hyperlinks>
    <hyperlink ref="A6" location="'Montelli_листи й мийки'!A1" display="Акриловий камінь і мийки Montelli"/>
    <hyperlink ref="A7" location="Silestone!R1C1" display="кварцевый камень Silestone"/>
    <hyperlink ref="A9" location="'плитка Silestone'!A1" display="кварцевая плитка Silestone"/>
    <hyperlink ref="A11" location="Invision!R1C1" display="панели Invision"/>
    <hyperlink ref="A12" location="KronoCompact!R1C1" display="компакт ламинат KronoCompact"/>
    <hyperlink ref="A13" location="'пластик HPL'!A1" display="пластик HPL"/>
    <hyperlink ref="A8" location="'Мийки Silestone'!A1" display="Кварцові мийки Silestone"/>
    <hyperlink ref="A4:A5" location="'Corian_листи й мийки'!A1" display="Акриловий камінь і мийки Corian"/>
    <hyperlink ref="A14" location="'HPL_від 1 листа_Express'!A1" display="Пластик HPL від 1 листа"/>
    <hyperlink ref="A10" location="DEKTON!A1" display="DEKTON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7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I17" sqref="I17"/>
    </sheetView>
  </sheetViews>
  <sheetFormatPr defaultColWidth="9.00390625" defaultRowHeight="12.75"/>
  <sheetData>
    <row r="1" spans="1:7" ht="12.75">
      <c r="A1" s="142"/>
      <c r="G1" s="8"/>
    </row>
    <row r="2" spans="1:7" ht="12.75">
      <c r="A2" s="142"/>
      <c r="G2" s="8"/>
    </row>
    <row r="3" spans="1:7" ht="12.75">
      <c r="A3" s="142"/>
      <c r="G3" s="8"/>
    </row>
    <row r="4" spans="1:7" ht="12.75">
      <c r="A4" s="142"/>
      <c r="G4" s="8"/>
    </row>
    <row r="5" spans="1:7" ht="12.75">
      <c r="A5" s="142"/>
      <c r="G5" s="8"/>
    </row>
    <row r="6" spans="1:10" ht="23.25">
      <c r="A6" s="139" t="s">
        <v>1053</v>
      </c>
      <c r="E6" s="250"/>
      <c r="F6" s="250"/>
      <c r="G6" s="551" t="s">
        <v>124</v>
      </c>
      <c r="H6" s="551"/>
      <c r="I6" s="551"/>
      <c r="J6" s="551"/>
    </row>
    <row r="7" ht="12.75">
      <c r="A7" s="142"/>
    </row>
    <row r="8" spans="1:7" ht="12.75">
      <c r="A8" s="485" t="s">
        <v>279</v>
      </c>
      <c r="B8" s="485" t="s">
        <v>314</v>
      </c>
      <c r="C8" s="485" t="s">
        <v>732</v>
      </c>
      <c r="D8" s="485"/>
      <c r="E8" s="196"/>
      <c r="F8" s="485" t="s">
        <v>145</v>
      </c>
      <c r="G8" s="485"/>
    </row>
    <row r="9" spans="1:7" ht="12.75">
      <c r="A9" s="485"/>
      <c r="B9" s="485"/>
      <c r="C9" s="196" t="s">
        <v>734</v>
      </c>
      <c r="D9" s="196" t="s">
        <v>735</v>
      </c>
      <c r="E9" s="196" t="s">
        <v>736</v>
      </c>
      <c r="F9" s="485"/>
      <c r="G9" s="485"/>
    </row>
    <row r="10" spans="1:7" ht="15">
      <c r="A10" s="296">
        <v>0</v>
      </c>
      <c r="B10" s="354" t="s">
        <v>738</v>
      </c>
      <c r="C10" s="354"/>
      <c r="D10" s="354"/>
      <c r="E10" s="354"/>
      <c r="F10" s="569">
        <f>64.19*Головна!B131</f>
        <v>2176.0409999999997</v>
      </c>
      <c r="G10" s="570"/>
    </row>
    <row r="11" spans="1:7" ht="12.75">
      <c r="A11" s="561" t="s">
        <v>739</v>
      </c>
      <c r="B11" s="382" t="s">
        <v>1054</v>
      </c>
      <c r="C11" s="381"/>
      <c r="D11" s="381"/>
      <c r="E11" s="381"/>
      <c r="F11" s="563">
        <f>80.24*Головна!B131</f>
        <v>2720.1359999999995</v>
      </c>
      <c r="G11" s="564"/>
    </row>
    <row r="12" spans="1:7" ht="12.75" customHeight="1">
      <c r="A12" s="485"/>
      <c r="B12" s="1" t="s">
        <v>741</v>
      </c>
      <c r="C12" s="1"/>
      <c r="D12" s="1"/>
      <c r="E12" s="1"/>
      <c r="F12" s="565"/>
      <c r="G12" s="566"/>
    </row>
    <row r="13" spans="1:7" ht="12.75" customHeight="1">
      <c r="A13" s="485"/>
      <c r="B13" s="355" t="s">
        <v>745</v>
      </c>
      <c r="C13" s="196"/>
      <c r="D13" s="196"/>
      <c r="E13" s="196"/>
      <c r="F13" s="565"/>
      <c r="G13" s="566"/>
    </row>
    <row r="14" spans="1:7" ht="12.75" customHeight="1">
      <c r="A14" s="485"/>
      <c r="B14" s="1" t="s">
        <v>746</v>
      </c>
      <c r="C14" s="1"/>
      <c r="D14" s="1"/>
      <c r="E14" s="1"/>
      <c r="F14" s="565"/>
      <c r="G14" s="566"/>
    </row>
    <row r="15" spans="1:7" ht="12.75" customHeight="1">
      <c r="A15" s="562"/>
      <c r="B15" s="356" t="s">
        <v>747</v>
      </c>
      <c r="C15" s="357"/>
      <c r="D15" s="357"/>
      <c r="E15" s="357"/>
      <c r="F15" s="567"/>
      <c r="G15" s="568"/>
    </row>
    <row r="16" spans="1:7" ht="12.75" customHeight="1">
      <c r="A16" s="571" t="s">
        <v>748</v>
      </c>
      <c r="B16" s="4" t="s">
        <v>749</v>
      </c>
      <c r="C16" s="1"/>
      <c r="D16" s="1"/>
      <c r="E16" s="1"/>
      <c r="F16" s="555">
        <f>93.36*Головна!B131</f>
        <v>3164.904</v>
      </c>
      <c r="G16" s="556"/>
    </row>
    <row r="17" spans="1:7" ht="15">
      <c r="A17" s="572"/>
      <c r="B17" s="355" t="s">
        <v>1055</v>
      </c>
      <c r="C17" s="196"/>
      <c r="D17" s="196"/>
      <c r="E17" s="196"/>
      <c r="F17" s="557"/>
      <c r="G17" s="558"/>
    </row>
    <row r="18" spans="1:7" ht="12.75" customHeight="1">
      <c r="A18" s="572"/>
      <c r="B18" s="4" t="s">
        <v>1056</v>
      </c>
      <c r="C18" s="1"/>
      <c r="D18" s="1"/>
      <c r="E18" s="1"/>
      <c r="F18" s="557"/>
      <c r="G18" s="558"/>
    </row>
    <row r="19" spans="1:7" ht="12.75" customHeight="1">
      <c r="A19" s="572"/>
      <c r="B19" s="355" t="s">
        <v>1057</v>
      </c>
      <c r="C19" s="196"/>
      <c r="D19" s="196"/>
      <c r="E19" s="196"/>
      <c r="F19" s="557"/>
      <c r="G19" s="558"/>
    </row>
    <row r="20" spans="1:7" ht="12.75" customHeight="1">
      <c r="A20" s="572"/>
      <c r="B20" s="4" t="s">
        <v>1058</v>
      </c>
      <c r="C20" s="1"/>
      <c r="D20" s="1"/>
      <c r="E20" s="1"/>
      <c r="F20" s="557"/>
      <c r="G20" s="558"/>
    </row>
    <row r="21" spans="1:7" ht="12.75" customHeight="1">
      <c r="A21" s="573"/>
      <c r="B21" s="356" t="s">
        <v>753</v>
      </c>
      <c r="C21" s="357"/>
      <c r="D21" s="357"/>
      <c r="E21" s="357"/>
      <c r="F21" s="559"/>
      <c r="G21" s="560"/>
    </row>
    <row r="22" spans="1:7" ht="12.75">
      <c r="A22" s="574" t="s">
        <v>755</v>
      </c>
      <c r="B22" s="358" t="s">
        <v>756</v>
      </c>
      <c r="C22" s="354"/>
      <c r="D22" s="354"/>
      <c r="E22" s="354"/>
      <c r="F22" s="563">
        <f>108.04*Головна!B131</f>
        <v>3662.556</v>
      </c>
      <c r="G22" s="564"/>
    </row>
    <row r="23" spans="1:7" ht="12.75">
      <c r="A23" s="575"/>
      <c r="B23" s="355" t="s">
        <v>763</v>
      </c>
      <c r="C23" s="196"/>
      <c r="D23" s="196"/>
      <c r="E23" s="196"/>
      <c r="F23" s="565"/>
      <c r="G23" s="566"/>
    </row>
    <row r="24" spans="1:7" ht="12.75">
      <c r="A24" s="575"/>
      <c r="B24" s="4" t="s">
        <v>758</v>
      </c>
      <c r="C24" s="1"/>
      <c r="D24" s="1"/>
      <c r="E24" s="1"/>
      <c r="F24" s="565"/>
      <c r="G24" s="566"/>
    </row>
    <row r="25" spans="1:7" ht="12.75">
      <c r="A25" s="576"/>
      <c r="B25" s="356" t="s">
        <v>759</v>
      </c>
      <c r="C25" s="357"/>
      <c r="D25" s="357"/>
      <c r="E25" s="357"/>
      <c r="F25" s="567"/>
      <c r="G25" s="568"/>
    </row>
    <row r="26" spans="1:7" ht="12.75">
      <c r="A26" s="571" t="s">
        <v>760</v>
      </c>
      <c r="B26" s="358" t="s">
        <v>1059</v>
      </c>
      <c r="C26" s="354"/>
      <c r="D26" s="354"/>
      <c r="E26" s="354"/>
      <c r="F26" s="555">
        <f>129.61*Головна!B131</f>
        <v>4393.779</v>
      </c>
      <c r="G26" s="556"/>
    </row>
    <row r="27" spans="1:7" ht="12.75">
      <c r="A27" s="572"/>
      <c r="B27" s="355" t="s">
        <v>1060</v>
      </c>
      <c r="C27" s="196"/>
      <c r="D27" s="196"/>
      <c r="E27" s="196"/>
      <c r="F27" s="557"/>
      <c r="G27" s="558"/>
    </row>
    <row r="28" spans="1:7" ht="12.75">
      <c r="A28" s="572"/>
      <c r="B28" s="4" t="s">
        <v>1061</v>
      </c>
      <c r="C28" s="1"/>
      <c r="D28" s="1"/>
      <c r="E28" s="1"/>
      <c r="F28" s="557"/>
      <c r="G28" s="558"/>
    </row>
    <row r="29" spans="1:7" ht="12.75">
      <c r="A29" s="572"/>
      <c r="B29" s="355" t="s">
        <v>762</v>
      </c>
      <c r="C29" s="196"/>
      <c r="D29" s="196"/>
      <c r="E29" s="196"/>
      <c r="F29" s="557"/>
      <c r="G29" s="558"/>
    </row>
    <row r="30" spans="1:7" ht="12.75">
      <c r="A30" s="573"/>
      <c r="B30" s="179" t="s">
        <v>1062</v>
      </c>
      <c r="C30" s="359"/>
      <c r="D30" s="359"/>
      <c r="E30" s="359"/>
      <c r="F30" s="559"/>
      <c r="G30" s="560"/>
    </row>
    <row r="33" spans="2:7" ht="18">
      <c r="B33" s="360"/>
      <c r="C33" s="360" t="s">
        <v>1063</v>
      </c>
      <c r="D33" s="360"/>
      <c r="E33" s="360"/>
      <c r="F33" s="360"/>
      <c r="G33" s="360"/>
    </row>
    <row r="35" spans="1:7" ht="12.75">
      <c r="A35" s="485" t="s">
        <v>279</v>
      </c>
      <c r="B35" s="485" t="s">
        <v>314</v>
      </c>
      <c r="C35" s="485" t="s">
        <v>732</v>
      </c>
      <c r="D35" s="485"/>
      <c r="E35" s="196"/>
      <c r="F35" s="485" t="s">
        <v>145</v>
      </c>
      <c r="G35" s="485"/>
    </row>
    <row r="36" spans="1:7" ht="12.75">
      <c r="A36" s="485"/>
      <c r="B36" s="485"/>
      <c r="C36" s="196" t="s">
        <v>734</v>
      </c>
      <c r="D36" s="196" t="s">
        <v>735</v>
      </c>
      <c r="E36" s="196" t="s">
        <v>736</v>
      </c>
      <c r="F36" s="485"/>
      <c r="G36" s="485"/>
    </row>
    <row r="37" spans="1:7" ht="15">
      <c r="A37" s="296">
        <v>0</v>
      </c>
      <c r="B37" s="353" t="s">
        <v>738</v>
      </c>
      <c r="C37" s="353"/>
      <c r="D37" s="353"/>
      <c r="E37" s="353"/>
      <c r="F37" s="569">
        <f>125.06*Головна!B131</f>
        <v>4239.534</v>
      </c>
      <c r="G37" s="570"/>
    </row>
    <row r="38" spans="1:7" ht="12.75">
      <c r="A38" s="561" t="s">
        <v>739</v>
      </c>
      <c r="B38" s="382" t="s">
        <v>1054</v>
      </c>
      <c r="C38" s="381"/>
      <c r="D38" s="381"/>
      <c r="E38" s="381"/>
      <c r="F38" s="563">
        <f>156.32*Головна!$B$131</f>
        <v>5299.248</v>
      </c>
      <c r="G38" s="564"/>
    </row>
    <row r="39" spans="1:7" ht="12.75" customHeight="1">
      <c r="A39" s="485" t="s">
        <v>748</v>
      </c>
      <c r="B39" s="1" t="s">
        <v>741</v>
      </c>
      <c r="C39" s="1"/>
      <c r="D39" s="1"/>
      <c r="E39" s="1"/>
      <c r="F39" s="565">
        <f>181.89*Головна!B131</f>
        <v>6166.070999999999</v>
      </c>
      <c r="G39" s="566"/>
    </row>
    <row r="40" spans="1:7" ht="12.75" customHeight="1">
      <c r="A40" s="485"/>
      <c r="B40" s="355" t="s">
        <v>745</v>
      </c>
      <c r="C40" s="196"/>
      <c r="D40" s="196"/>
      <c r="E40" s="196"/>
      <c r="F40" s="565"/>
      <c r="G40" s="566"/>
    </row>
    <row r="41" spans="1:7" ht="12.75" customHeight="1">
      <c r="A41" s="485"/>
      <c r="B41" s="1" t="s">
        <v>746</v>
      </c>
      <c r="C41" s="1"/>
      <c r="D41" s="1"/>
      <c r="E41" s="1"/>
      <c r="F41" s="565"/>
      <c r="G41" s="566"/>
    </row>
    <row r="42" spans="1:7" ht="12.75" customHeight="1">
      <c r="A42" s="562"/>
      <c r="B42" s="356" t="s">
        <v>747</v>
      </c>
      <c r="C42" s="357"/>
      <c r="D42" s="357"/>
      <c r="E42" s="357"/>
      <c r="F42" s="567"/>
      <c r="G42" s="568"/>
    </row>
    <row r="43" spans="1:7" ht="12.75" customHeight="1">
      <c r="A43" s="571" t="s">
        <v>748</v>
      </c>
      <c r="B43" s="4" t="s">
        <v>749</v>
      </c>
      <c r="C43" s="1"/>
      <c r="D43" s="1"/>
      <c r="E43" s="1"/>
      <c r="F43" s="555">
        <f>181.89*Головна!$B$131</f>
        <v>6166.070999999999</v>
      </c>
      <c r="G43" s="556"/>
    </row>
    <row r="44" spans="1:7" ht="15">
      <c r="A44" s="572"/>
      <c r="B44" s="355" t="s">
        <v>1055</v>
      </c>
      <c r="C44" s="196"/>
      <c r="D44" s="196"/>
      <c r="E44" s="196"/>
      <c r="F44" s="557"/>
      <c r="G44" s="558"/>
    </row>
    <row r="45" spans="1:7" ht="12.75" customHeight="1">
      <c r="A45" s="572"/>
      <c r="B45" s="4" t="s">
        <v>1056</v>
      </c>
      <c r="C45" s="1"/>
      <c r="D45" s="1"/>
      <c r="E45" s="1"/>
      <c r="F45" s="557"/>
      <c r="G45" s="558"/>
    </row>
    <row r="46" spans="1:7" ht="12.75" customHeight="1">
      <c r="A46" s="572"/>
      <c r="B46" s="355" t="s">
        <v>1057</v>
      </c>
      <c r="C46" s="196"/>
      <c r="D46" s="196"/>
      <c r="E46" s="196"/>
      <c r="F46" s="557"/>
      <c r="G46" s="558"/>
    </row>
    <row r="47" spans="1:7" ht="12.75" customHeight="1">
      <c r="A47" s="572"/>
      <c r="B47" s="4" t="s">
        <v>1058</v>
      </c>
      <c r="C47" s="1"/>
      <c r="D47" s="1"/>
      <c r="E47" s="1"/>
      <c r="F47" s="557"/>
      <c r="G47" s="558"/>
    </row>
    <row r="48" spans="1:7" ht="12.75" customHeight="1">
      <c r="A48" s="573"/>
      <c r="B48" s="356" t="s">
        <v>753</v>
      </c>
      <c r="C48" s="357"/>
      <c r="D48" s="357"/>
      <c r="E48" s="357"/>
      <c r="F48" s="559"/>
      <c r="G48" s="560"/>
    </row>
    <row r="49" spans="1:7" ht="12.75">
      <c r="A49" s="574" t="s">
        <v>755</v>
      </c>
      <c r="B49" s="358" t="s">
        <v>756</v>
      </c>
      <c r="C49" s="354"/>
      <c r="D49" s="354"/>
      <c r="E49" s="354"/>
      <c r="F49" s="563">
        <f>210.46*Головна!B131</f>
        <v>7134.594</v>
      </c>
      <c r="G49" s="564"/>
    </row>
    <row r="50" spans="1:7" ht="12.75">
      <c r="A50" s="575"/>
      <c r="B50" s="355" t="s">
        <v>763</v>
      </c>
      <c r="C50" s="196"/>
      <c r="D50" s="196"/>
      <c r="E50" s="196"/>
      <c r="F50" s="565"/>
      <c r="G50" s="566"/>
    </row>
    <row r="51" spans="1:7" ht="12.75">
      <c r="A51" s="575"/>
      <c r="B51" s="4" t="s">
        <v>758</v>
      </c>
      <c r="C51" s="1"/>
      <c r="D51" s="1"/>
      <c r="E51" s="1"/>
      <c r="F51" s="565"/>
      <c r="G51" s="566"/>
    </row>
    <row r="52" spans="1:7" ht="12.75">
      <c r="A52" s="576"/>
      <c r="B52" s="356" t="s">
        <v>759</v>
      </c>
      <c r="C52" s="357"/>
      <c r="D52" s="357"/>
      <c r="E52" s="357"/>
      <c r="F52" s="567"/>
      <c r="G52" s="568"/>
    </row>
    <row r="53" spans="1:7" ht="12.75">
      <c r="A53" s="571" t="s">
        <v>760</v>
      </c>
      <c r="B53" s="358" t="s">
        <v>1059</v>
      </c>
      <c r="C53" s="354"/>
      <c r="D53" s="354"/>
      <c r="E53" s="354"/>
      <c r="F53" s="555">
        <f>252.56*Головна!B131</f>
        <v>8561.784</v>
      </c>
      <c r="G53" s="556"/>
    </row>
    <row r="54" spans="1:7" ht="12.75">
      <c r="A54" s="572"/>
      <c r="B54" s="355" t="s">
        <v>1060</v>
      </c>
      <c r="C54" s="196"/>
      <c r="D54" s="196"/>
      <c r="E54" s="196"/>
      <c r="F54" s="557"/>
      <c r="G54" s="558"/>
    </row>
    <row r="55" spans="1:7" ht="12.75">
      <c r="A55" s="572"/>
      <c r="B55" s="4" t="s">
        <v>1061</v>
      </c>
      <c r="C55" s="1"/>
      <c r="D55" s="1"/>
      <c r="E55" s="1"/>
      <c r="F55" s="557"/>
      <c r="G55" s="558"/>
    </row>
    <row r="56" spans="1:7" ht="12.75">
      <c r="A56" s="572"/>
      <c r="B56" s="355" t="s">
        <v>762</v>
      </c>
      <c r="C56" s="196"/>
      <c r="D56" s="196"/>
      <c r="E56" s="196"/>
      <c r="F56" s="557"/>
      <c r="G56" s="558"/>
    </row>
    <row r="57" spans="1:7" ht="12.75">
      <c r="A57" s="573"/>
      <c r="B57" s="179" t="s">
        <v>1062</v>
      </c>
      <c r="C57" s="359"/>
      <c r="D57" s="359"/>
      <c r="E57" s="359"/>
      <c r="F57" s="559"/>
      <c r="G57" s="560"/>
    </row>
    <row r="59" ht="12.75">
      <c r="A59" s="142" t="s">
        <v>1064</v>
      </c>
    </row>
    <row r="60" ht="12.75">
      <c r="A60" s="142"/>
    </row>
    <row r="61" spans="1:4" ht="12.75">
      <c r="A61" t="s">
        <v>1049</v>
      </c>
      <c r="B61" s="8" t="s">
        <v>768</v>
      </c>
      <c r="C61" s="8" t="s">
        <v>764</v>
      </c>
      <c r="D61" t="s">
        <v>769</v>
      </c>
    </row>
    <row r="62" ht="12.75">
      <c r="A62" s="142"/>
    </row>
    <row r="63" spans="1:2" ht="12.75">
      <c r="A63" s="142"/>
      <c r="B63" t="s">
        <v>1050</v>
      </c>
    </row>
    <row r="64" ht="12.75">
      <c r="A64" s="142"/>
    </row>
    <row r="65" spans="1:2" ht="12.75">
      <c r="A65" t="s">
        <v>1097</v>
      </c>
      <c r="B65" t="s">
        <v>1098</v>
      </c>
    </row>
  </sheetData>
  <sheetProtection/>
  <mergeCells count="27">
    <mergeCell ref="A16:A21"/>
    <mergeCell ref="A38:A42"/>
    <mergeCell ref="F38:G42"/>
    <mergeCell ref="A43:A48"/>
    <mergeCell ref="F43:G48"/>
    <mergeCell ref="A49:A52"/>
    <mergeCell ref="F49:G52"/>
    <mergeCell ref="A22:A25"/>
    <mergeCell ref="F22:G25"/>
    <mergeCell ref="A26:A30"/>
    <mergeCell ref="A53:A57"/>
    <mergeCell ref="F53:G57"/>
    <mergeCell ref="A35:A36"/>
    <mergeCell ref="B35:B36"/>
    <mergeCell ref="C35:D35"/>
    <mergeCell ref="F35:G36"/>
    <mergeCell ref="F37:G37"/>
    <mergeCell ref="F26:G30"/>
    <mergeCell ref="A11:A15"/>
    <mergeCell ref="F11:G15"/>
    <mergeCell ref="F16:G21"/>
    <mergeCell ref="G6:J6"/>
    <mergeCell ref="A8:A9"/>
    <mergeCell ref="B8:B9"/>
    <mergeCell ref="C8:D8"/>
    <mergeCell ref="F8:G9"/>
    <mergeCell ref="F10:G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L7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S6" sqref="S6"/>
    </sheetView>
  </sheetViews>
  <sheetFormatPr defaultColWidth="9.00390625" defaultRowHeight="12.75"/>
  <cols>
    <col min="1" max="1" width="19.125" style="11" customWidth="1"/>
    <col min="2" max="2" width="34.375" style="11" customWidth="1"/>
    <col min="4" max="4" width="7.875" style="0" customWidth="1"/>
    <col min="5" max="11" width="8.625" style="0" customWidth="1"/>
    <col min="12" max="12" width="12.875" style="0" customWidth="1"/>
  </cols>
  <sheetData>
    <row r="1" spans="1:11" ht="112.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1" ht="18" customHeight="1">
      <c r="A2" s="581">
        <f>Головна!B2</f>
        <v>0</v>
      </c>
      <c r="B2" s="581"/>
      <c r="C2" s="51" t="s">
        <v>304</v>
      </c>
      <c r="D2" s="51"/>
      <c r="E2" s="51"/>
      <c r="F2" s="51"/>
      <c r="G2" s="51"/>
      <c r="H2" s="580"/>
      <c r="I2" s="580"/>
      <c r="J2" s="580"/>
      <c r="K2" s="580"/>
    </row>
    <row r="3" spans="1:11" ht="27.75" customHeight="1">
      <c r="A3" s="579" t="s">
        <v>316</v>
      </c>
      <c r="B3" s="579"/>
      <c r="C3" s="579"/>
      <c r="D3" s="579"/>
      <c r="E3" s="579"/>
      <c r="F3" s="579"/>
      <c r="G3" s="579"/>
      <c r="H3" s="580"/>
      <c r="I3" s="580"/>
      <c r="J3" s="580"/>
      <c r="K3" s="580"/>
    </row>
    <row r="4" spans="1:11" ht="18" customHeight="1">
      <c r="A4" s="492" t="s">
        <v>317</v>
      </c>
      <c r="B4" s="492"/>
      <c r="C4" s="492"/>
      <c r="D4" s="492"/>
      <c r="E4" s="492"/>
      <c r="F4" s="492"/>
      <c r="G4" s="492"/>
      <c r="H4" s="580"/>
      <c r="I4" s="580"/>
      <c r="J4" s="580"/>
      <c r="K4" s="580"/>
    </row>
    <row r="5" spans="1:11" ht="15.75" customHeight="1">
      <c r="A5" s="493" t="s">
        <v>306</v>
      </c>
      <c r="B5" s="494"/>
      <c r="C5" s="494"/>
      <c r="D5" s="494"/>
      <c r="E5" s="494"/>
      <c r="F5" s="494"/>
      <c r="G5" s="494"/>
      <c r="H5" s="580"/>
      <c r="I5" s="580"/>
      <c r="J5" s="580"/>
      <c r="K5" s="580"/>
    </row>
    <row r="6" spans="1:11" ht="13.5" customHeight="1">
      <c r="A6" s="498"/>
      <c r="B6" s="498"/>
      <c r="C6" s="498"/>
      <c r="D6" s="498"/>
      <c r="E6" s="498"/>
      <c r="F6" s="498"/>
      <c r="G6" s="498"/>
      <c r="H6" s="580"/>
      <c r="I6" s="580"/>
      <c r="J6" s="580"/>
      <c r="K6" s="580"/>
    </row>
    <row r="7" spans="1:11" ht="12.75">
      <c r="A7" s="578"/>
      <c r="B7" s="578"/>
      <c r="C7" s="578"/>
      <c r="D7" s="578"/>
      <c r="E7" s="578"/>
      <c r="F7" s="578"/>
      <c r="G7" s="578"/>
      <c r="H7" s="580"/>
      <c r="I7" s="580"/>
      <c r="J7" s="580"/>
      <c r="K7" s="580"/>
    </row>
    <row r="8" spans="1:11" ht="12.75" customHeight="1">
      <c r="A8" s="577" t="s">
        <v>318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</row>
    <row r="9" spans="1:11" ht="12.75">
      <c r="A9" s="577"/>
      <c r="B9" s="577"/>
      <c r="C9" s="577"/>
      <c r="D9" s="577"/>
      <c r="E9" s="577"/>
      <c r="F9" s="577"/>
      <c r="G9" s="577"/>
      <c r="H9" s="577"/>
      <c r="I9" s="577"/>
      <c r="J9" s="577"/>
      <c r="K9" s="577"/>
    </row>
    <row r="10" spans="1:11" ht="15.75" customHeight="1">
      <c r="A10" s="45"/>
      <c r="B10" s="45"/>
      <c r="C10" s="46"/>
      <c r="D10" s="46"/>
      <c r="E10" s="46"/>
      <c r="F10" s="46"/>
      <c r="G10" s="46"/>
      <c r="H10" s="46"/>
      <c r="I10" s="46"/>
      <c r="J10" s="46"/>
      <c r="K10" s="46"/>
    </row>
    <row r="11" spans="1:12" ht="31.5" customHeight="1">
      <c r="A11" s="43" t="s">
        <v>319</v>
      </c>
      <c r="B11" s="43" t="s">
        <v>320</v>
      </c>
      <c r="C11" s="47" t="s">
        <v>292</v>
      </c>
      <c r="D11" s="43" t="s">
        <v>145</v>
      </c>
      <c r="E11" s="43" t="s">
        <v>146</v>
      </c>
      <c r="F11" s="43" t="s">
        <v>147</v>
      </c>
      <c r="G11" s="43" t="s">
        <v>148</v>
      </c>
      <c r="H11" s="43" t="s">
        <v>112</v>
      </c>
      <c r="I11" s="43" t="s">
        <v>321</v>
      </c>
      <c r="J11" s="43" t="s">
        <v>113</v>
      </c>
      <c r="K11" s="43" t="s">
        <v>322</v>
      </c>
      <c r="L11" s="13" t="s">
        <v>263</v>
      </c>
    </row>
    <row r="12" spans="1:11" ht="12.75">
      <c r="A12" s="121" t="s">
        <v>82</v>
      </c>
      <c r="B12" s="122" t="s">
        <v>347</v>
      </c>
      <c r="C12" s="123">
        <v>7</v>
      </c>
      <c r="D12" s="124" t="s">
        <v>116</v>
      </c>
      <c r="E12" s="125" t="s">
        <v>116</v>
      </c>
      <c r="F12" s="125" t="s">
        <v>116</v>
      </c>
      <c r="G12" s="125" t="s">
        <v>116</v>
      </c>
      <c r="H12" s="125">
        <f>539*Головна!B131</f>
        <v>18272.1</v>
      </c>
      <c r="I12" s="125">
        <f>599*Головна!B131</f>
        <v>20306.1</v>
      </c>
      <c r="J12" s="125">
        <f>675*Головна!B131</f>
        <v>22882.5</v>
      </c>
      <c r="K12" s="126">
        <f>749*Головна!B131</f>
        <v>25391.1</v>
      </c>
    </row>
    <row r="13" spans="1:11" ht="12.75">
      <c r="A13" s="121" t="s">
        <v>83</v>
      </c>
      <c r="B13" s="122" t="s">
        <v>348</v>
      </c>
      <c r="C13" s="123">
        <v>7</v>
      </c>
      <c r="D13" s="124" t="s">
        <v>116</v>
      </c>
      <c r="E13" s="125" t="s">
        <v>116</v>
      </c>
      <c r="F13" s="125" t="s">
        <v>116</v>
      </c>
      <c r="G13" s="125">
        <f>409*Головна!B131</f>
        <v>13865.099999999999</v>
      </c>
      <c r="H13" s="125">
        <f>445*Головна!B131</f>
        <v>15085.5</v>
      </c>
      <c r="I13" s="125">
        <f>499*Головна!B131</f>
        <v>16916.1</v>
      </c>
      <c r="J13" s="125">
        <f>569*Головна!B131</f>
        <v>19289.1</v>
      </c>
      <c r="K13" s="126" t="s">
        <v>116</v>
      </c>
    </row>
    <row r="14" spans="1:11" ht="12.75">
      <c r="A14" s="121" t="s">
        <v>84</v>
      </c>
      <c r="B14" s="122" t="s">
        <v>350</v>
      </c>
      <c r="C14" s="123">
        <v>3</v>
      </c>
      <c r="D14" s="124">
        <f>269*Головна!B131</f>
        <v>9119.1</v>
      </c>
      <c r="E14" s="125">
        <f>299*Головна!B131</f>
        <v>10136.1</v>
      </c>
      <c r="F14" s="125">
        <f>329*Головна!B131</f>
        <v>11153.1</v>
      </c>
      <c r="G14" s="125">
        <f>359*Головна!B131</f>
        <v>12170.1</v>
      </c>
      <c r="H14" s="125">
        <f>389*Головна!B131</f>
        <v>13187.099999999999</v>
      </c>
      <c r="I14" s="125">
        <f>449*Головна!B131</f>
        <v>15221.099999999999</v>
      </c>
      <c r="J14" s="125">
        <f>435*Головна!B131</f>
        <v>14746.5</v>
      </c>
      <c r="K14" s="126" t="s">
        <v>116</v>
      </c>
    </row>
    <row r="15" spans="1:11" ht="26.25">
      <c r="A15" s="121" t="s">
        <v>85</v>
      </c>
      <c r="B15" s="122" t="s">
        <v>366</v>
      </c>
      <c r="C15" s="123">
        <v>5</v>
      </c>
      <c r="D15" s="124" t="s">
        <v>116</v>
      </c>
      <c r="E15" s="125">
        <f>349*Головна!B131</f>
        <v>11831.1</v>
      </c>
      <c r="F15" s="125">
        <f>379*Головна!B131</f>
        <v>12848.1</v>
      </c>
      <c r="G15" s="125">
        <f>409*Головна!B131</f>
        <v>13865.099999999999</v>
      </c>
      <c r="H15" s="125">
        <f>439*Головна!B131</f>
        <v>14882.099999999999</v>
      </c>
      <c r="I15" s="125">
        <f>499*Головна!B131</f>
        <v>16916.1</v>
      </c>
      <c r="J15" s="125">
        <f>569*Головна!B131</f>
        <v>19289.1</v>
      </c>
      <c r="K15" s="126" t="s">
        <v>116</v>
      </c>
    </row>
    <row r="16" spans="1:11" ht="26.25">
      <c r="A16" s="121" t="s">
        <v>86</v>
      </c>
      <c r="B16" s="122" t="s">
        <v>351</v>
      </c>
      <c r="C16" s="123">
        <v>7</v>
      </c>
      <c r="D16" s="124" t="s">
        <v>116</v>
      </c>
      <c r="E16" s="125" t="s">
        <v>116</v>
      </c>
      <c r="F16" s="125" t="s">
        <v>116</v>
      </c>
      <c r="G16" s="125">
        <f>499*Головна!B131</f>
        <v>16916.1</v>
      </c>
      <c r="H16" s="125">
        <f>529*Головна!B131</f>
        <v>17933.1</v>
      </c>
      <c r="I16" s="125">
        <f>599*Головна!B131</f>
        <v>20306.1</v>
      </c>
      <c r="J16" s="125">
        <f>659*Головна!B131</f>
        <v>22340.1</v>
      </c>
      <c r="K16" s="126">
        <f>739*Головна!B131</f>
        <v>25052.1</v>
      </c>
    </row>
    <row r="17" spans="1:11" ht="12.75">
      <c r="A17" s="121" t="s">
        <v>87</v>
      </c>
      <c r="B17" s="122" t="s">
        <v>352</v>
      </c>
      <c r="C17" s="123">
        <v>5</v>
      </c>
      <c r="D17" s="124" t="s">
        <v>116</v>
      </c>
      <c r="E17" s="125">
        <f>349*Головна!B131</f>
        <v>11831.1</v>
      </c>
      <c r="F17" s="125">
        <f>379*Головна!B131</f>
        <v>12848.1</v>
      </c>
      <c r="G17" s="125">
        <f>409*Головна!B131</f>
        <v>13865.099999999999</v>
      </c>
      <c r="H17" s="125">
        <f>439*Головна!B131</f>
        <v>14882.099999999999</v>
      </c>
      <c r="I17" s="125">
        <f>499*Головна!B131</f>
        <v>16916.1</v>
      </c>
      <c r="J17" s="125">
        <f>569*Головна!B131</f>
        <v>19289.1</v>
      </c>
      <c r="K17" s="126" t="s">
        <v>116</v>
      </c>
    </row>
    <row r="18" spans="1:11" ht="12.75">
      <c r="A18" s="121" t="s">
        <v>88</v>
      </c>
      <c r="B18" s="122" t="s">
        <v>353</v>
      </c>
      <c r="C18" s="123">
        <v>7</v>
      </c>
      <c r="D18" s="124" t="s">
        <v>116</v>
      </c>
      <c r="E18" s="125" t="s">
        <v>116</v>
      </c>
      <c r="F18" s="125" t="s">
        <v>116</v>
      </c>
      <c r="G18" s="125">
        <f>509*Головна!B131</f>
        <v>17255.1</v>
      </c>
      <c r="H18" s="125">
        <f>535*Головна!B131</f>
        <v>18136.5</v>
      </c>
      <c r="I18" s="125">
        <f>609*Головна!B131</f>
        <v>20645.1</v>
      </c>
      <c r="J18" s="125">
        <f>669*Головна!B131</f>
        <v>22679.1</v>
      </c>
      <c r="K18" s="126" t="s">
        <v>116</v>
      </c>
    </row>
    <row r="19" spans="1:11" ht="41.25" customHeight="1">
      <c r="A19" s="121" t="s">
        <v>89</v>
      </c>
      <c r="B19" s="122" t="s">
        <v>354</v>
      </c>
      <c r="C19" s="123">
        <v>7</v>
      </c>
      <c r="D19" s="124" t="s">
        <v>116</v>
      </c>
      <c r="E19" s="125" t="s">
        <v>116</v>
      </c>
      <c r="F19" s="125" t="s">
        <v>116</v>
      </c>
      <c r="G19" s="125">
        <f>509*Головна!B131</f>
        <v>17255.1</v>
      </c>
      <c r="H19" s="125">
        <f>535*Головна!B131</f>
        <v>18136.5</v>
      </c>
      <c r="I19" s="125">
        <f>609*Головна!B131</f>
        <v>20645.1</v>
      </c>
      <c r="J19" s="125">
        <f>669*Головна!B131</f>
        <v>22679.1</v>
      </c>
      <c r="K19" s="126">
        <f>749*Головна!B131</f>
        <v>25391.1</v>
      </c>
    </row>
    <row r="20" spans="1:11" ht="30" customHeight="1">
      <c r="A20" s="121" t="s">
        <v>90</v>
      </c>
      <c r="B20" s="122" t="s">
        <v>355</v>
      </c>
      <c r="C20" s="123">
        <v>5</v>
      </c>
      <c r="D20" s="124" t="s">
        <v>116</v>
      </c>
      <c r="E20" s="125">
        <f>349*Головна!B131</f>
        <v>11831.1</v>
      </c>
      <c r="F20" s="125">
        <f>379*Головна!B131</f>
        <v>12848.1</v>
      </c>
      <c r="G20" s="125">
        <f>409*Головна!B131</f>
        <v>13865.099999999999</v>
      </c>
      <c r="H20" s="125">
        <f>439*Головна!B131</f>
        <v>14882.099999999999</v>
      </c>
      <c r="I20" s="125">
        <f>499*Головна!B131</f>
        <v>16916.1</v>
      </c>
      <c r="J20" s="125">
        <f>569*Головна!B131</f>
        <v>19289.1</v>
      </c>
      <c r="K20" s="126" t="s">
        <v>116</v>
      </c>
    </row>
    <row r="21" spans="1:11" ht="21.75" customHeight="1">
      <c r="A21" s="121" t="s">
        <v>91</v>
      </c>
      <c r="B21" s="122" t="s">
        <v>356</v>
      </c>
      <c r="C21" s="123">
        <v>7</v>
      </c>
      <c r="D21" s="124" t="s">
        <v>116</v>
      </c>
      <c r="E21" s="125" t="s">
        <v>116</v>
      </c>
      <c r="F21" s="125" t="s">
        <v>116</v>
      </c>
      <c r="G21" s="125">
        <f>499*Головна!B131</f>
        <v>16916.1</v>
      </c>
      <c r="H21" s="125">
        <f>535*Головна!B131</f>
        <v>18136.5</v>
      </c>
      <c r="I21" s="125">
        <f>609*Головна!B131</f>
        <v>20645.1</v>
      </c>
      <c r="J21" s="125">
        <f>669*Головна!B131</f>
        <v>22679.1</v>
      </c>
      <c r="K21" s="126">
        <f>749*Головна!B131</f>
        <v>25391.1</v>
      </c>
    </row>
    <row r="22" spans="1:11" ht="17.25" customHeight="1">
      <c r="A22" s="121" t="s">
        <v>128</v>
      </c>
      <c r="B22" s="122" t="s">
        <v>357</v>
      </c>
      <c r="C22" s="123">
        <v>7</v>
      </c>
      <c r="D22" s="124" t="s">
        <v>116</v>
      </c>
      <c r="E22" s="125" t="s">
        <v>116</v>
      </c>
      <c r="F22" s="125" t="s">
        <v>116</v>
      </c>
      <c r="G22" s="125">
        <f>499*Головна!B131</f>
        <v>16916.1</v>
      </c>
      <c r="H22" s="125">
        <f>535*Головна!B131</f>
        <v>18136.5</v>
      </c>
      <c r="I22" s="125">
        <f>609*Головна!B131</f>
        <v>20645.1</v>
      </c>
      <c r="J22" s="125">
        <f>669*Головна!B131</f>
        <v>22679.1</v>
      </c>
      <c r="K22" s="126" t="s">
        <v>116</v>
      </c>
    </row>
    <row r="23" spans="1:11" ht="12.75">
      <c r="A23" s="121" t="s">
        <v>92</v>
      </c>
      <c r="B23" s="122" t="s">
        <v>358</v>
      </c>
      <c r="C23" s="123">
        <v>5</v>
      </c>
      <c r="D23" s="124" t="s">
        <v>116</v>
      </c>
      <c r="E23" s="125" t="s">
        <v>116</v>
      </c>
      <c r="F23" s="125" t="s">
        <v>116</v>
      </c>
      <c r="G23" s="125">
        <f>409*Головна!B131</f>
        <v>13865.099999999999</v>
      </c>
      <c r="H23" s="125">
        <f>439*Головна!B131</f>
        <v>14882.099999999999</v>
      </c>
      <c r="I23" s="125">
        <f>499*Головна!B131</f>
        <v>16916.1</v>
      </c>
      <c r="J23" s="125">
        <f>569*Головна!B131</f>
        <v>19289.1</v>
      </c>
      <c r="K23" s="126" t="s">
        <v>116</v>
      </c>
    </row>
    <row r="24" spans="1:11" ht="12.75">
      <c r="A24" s="121" t="s">
        <v>129</v>
      </c>
      <c r="B24" s="122" t="s">
        <v>359</v>
      </c>
      <c r="C24" s="123">
        <v>5</v>
      </c>
      <c r="D24" s="127" t="s">
        <v>116</v>
      </c>
      <c r="E24" s="128" t="s">
        <v>116</v>
      </c>
      <c r="F24" s="128" t="s">
        <v>116</v>
      </c>
      <c r="G24" s="128" t="s">
        <v>116</v>
      </c>
      <c r="H24" s="125">
        <f>439*Головна!B131</f>
        <v>14882.099999999999</v>
      </c>
      <c r="I24" s="125">
        <f>499*Головна!B131</f>
        <v>16916.1</v>
      </c>
      <c r="J24" s="125">
        <f>569*Головна!B131</f>
        <v>19289.1</v>
      </c>
      <c r="K24" s="126" t="s">
        <v>116</v>
      </c>
    </row>
    <row r="25" spans="1:11" ht="12.75">
      <c r="A25" s="121" t="s">
        <v>93</v>
      </c>
      <c r="B25" s="122" t="s">
        <v>380</v>
      </c>
      <c r="C25" s="123">
        <v>7</v>
      </c>
      <c r="D25" s="124">
        <f>399*Головна!B131</f>
        <v>13526.099999999999</v>
      </c>
      <c r="E25" s="125">
        <f>429*Головна!B131</f>
        <v>14543.099999999999</v>
      </c>
      <c r="F25" s="125">
        <f>469*Головна!B131</f>
        <v>15899.099999999999</v>
      </c>
      <c r="G25" s="125">
        <f>499*Головна!B131</f>
        <v>16916.1</v>
      </c>
      <c r="H25" s="125">
        <f>535*Головна!B131</f>
        <v>18136.5</v>
      </c>
      <c r="I25" s="125">
        <f>609*Головна!B131</f>
        <v>20645.1</v>
      </c>
      <c r="J25" s="125">
        <f>679*Головна!B131</f>
        <v>23018.1</v>
      </c>
      <c r="K25" s="126" t="s">
        <v>116</v>
      </c>
    </row>
    <row r="26" spans="1:11" ht="12.75">
      <c r="A26" s="121" t="s">
        <v>94</v>
      </c>
      <c r="B26" s="122" t="s">
        <v>360</v>
      </c>
      <c r="C26" s="123">
        <v>5</v>
      </c>
      <c r="D26" s="124" t="s">
        <v>116</v>
      </c>
      <c r="E26" s="125">
        <f>345*Головна!B131</f>
        <v>11695.5</v>
      </c>
      <c r="F26" s="125">
        <f>379*Головна!B131</f>
        <v>12848.1</v>
      </c>
      <c r="G26" s="125">
        <f>409*Головна!B131</f>
        <v>13865.099999999999</v>
      </c>
      <c r="H26" s="125">
        <f>439*Головна!B131</f>
        <v>14882.099999999999</v>
      </c>
      <c r="I26" s="125">
        <f>499*Головна!B131</f>
        <v>16916.1</v>
      </c>
      <c r="J26" s="125">
        <f>569*Головна!B131</f>
        <v>19289.1</v>
      </c>
      <c r="K26" s="126" t="s">
        <v>116</v>
      </c>
    </row>
    <row r="27" spans="1:11" ht="12.75">
      <c r="A27" s="121" t="s">
        <v>130</v>
      </c>
      <c r="B27" s="122" t="s">
        <v>361</v>
      </c>
      <c r="C27" s="123">
        <v>5</v>
      </c>
      <c r="D27" s="124" t="s">
        <v>116</v>
      </c>
      <c r="E27" s="125">
        <f>349*Головна!B131</f>
        <v>11831.1</v>
      </c>
      <c r="F27" s="125">
        <f>379*Головна!B131</f>
        <v>12848.1</v>
      </c>
      <c r="G27" s="125">
        <f>409*Головна!B131</f>
        <v>13865.099999999999</v>
      </c>
      <c r="H27" s="125">
        <f>439*Головна!B131</f>
        <v>14882.099999999999</v>
      </c>
      <c r="I27" s="125">
        <f>499*Головна!B131</f>
        <v>16916.1</v>
      </c>
      <c r="J27" s="125">
        <f>559*Головна!B131</f>
        <v>18950.1</v>
      </c>
      <c r="K27" s="126" t="s">
        <v>116</v>
      </c>
    </row>
    <row r="28" spans="1:11" ht="12.75">
      <c r="A28" s="121" t="s">
        <v>131</v>
      </c>
      <c r="B28" s="122" t="s">
        <v>362</v>
      </c>
      <c r="C28" s="123">
        <v>5</v>
      </c>
      <c r="D28" s="124" t="s">
        <v>116</v>
      </c>
      <c r="E28" s="125">
        <f>349*Головна!B131</f>
        <v>11831.1</v>
      </c>
      <c r="F28" s="125">
        <f>379*Головна!B131</f>
        <v>12848.1</v>
      </c>
      <c r="G28" s="125">
        <f>409*Головна!B131</f>
        <v>13865.099999999999</v>
      </c>
      <c r="H28" s="125">
        <f>439*Головна!B131</f>
        <v>14882.099999999999</v>
      </c>
      <c r="I28" s="125">
        <f>499*Головна!B131</f>
        <v>16916.1</v>
      </c>
      <c r="J28" s="125">
        <f>559*Головна!B131</f>
        <v>18950.1</v>
      </c>
      <c r="K28" s="126" t="s">
        <v>116</v>
      </c>
    </row>
    <row r="29" spans="1:11" ht="12.75">
      <c r="A29" s="121" t="s">
        <v>132</v>
      </c>
      <c r="B29" s="122" t="s">
        <v>363</v>
      </c>
      <c r="C29" s="123">
        <v>7</v>
      </c>
      <c r="D29" s="124" t="s">
        <v>116</v>
      </c>
      <c r="E29" s="125" t="s">
        <v>116</v>
      </c>
      <c r="F29" s="125" t="s">
        <v>116</v>
      </c>
      <c r="G29" s="125">
        <f>409*Головна!B131</f>
        <v>13865.099999999999</v>
      </c>
      <c r="H29" s="125">
        <f>445*Головна!B131</f>
        <v>15085.5</v>
      </c>
      <c r="I29" s="125">
        <f>499*Головна!B131</f>
        <v>16916.1</v>
      </c>
      <c r="J29" s="125">
        <f>569*Головна!B131</f>
        <v>19289.1</v>
      </c>
      <c r="K29" s="126" t="s">
        <v>116</v>
      </c>
    </row>
    <row r="30" spans="1:11" ht="15" customHeight="1">
      <c r="A30" s="121" t="s">
        <v>95</v>
      </c>
      <c r="B30" s="122" t="s">
        <v>367</v>
      </c>
      <c r="C30" s="123">
        <v>6</v>
      </c>
      <c r="D30" s="124">
        <f>325*Головна!B131</f>
        <v>11017.5</v>
      </c>
      <c r="E30" s="125">
        <f>355*Головна!B131</f>
        <v>12034.5</v>
      </c>
      <c r="F30" s="125">
        <f>389*Головна!B131</f>
        <v>13187.099999999999</v>
      </c>
      <c r="G30" s="125">
        <f>419*Головна!B131</f>
        <v>14204.099999999999</v>
      </c>
      <c r="H30" s="125">
        <f>445*Головна!B131</f>
        <v>15085.5</v>
      </c>
      <c r="I30" s="125">
        <f>499*Головна!B131</f>
        <v>16916.1</v>
      </c>
      <c r="J30" s="125">
        <f>569*Головна!B131</f>
        <v>19289.1</v>
      </c>
      <c r="K30" s="126" t="s">
        <v>116</v>
      </c>
    </row>
    <row r="31" spans="1:11" ht="26.25">
      <c r="A31" s="121" t="s">
        <v>96</v>
      </c>
      <c r="B31" s="122" t="s">
        <v>368</v>
      </c>
      <c r="C31" s="123">
        <v>6</v>
      </c>
      <c r="D31" s="124">
        <f>325*Головна!B131</f>
        <v>11017.5</v>
      </c>
      <c r="E31" s="125">
        <f>355*Головна!B131</f>
        <v>12034.5</v>
      </c>
      <c r="F31" s="125">
        <f>389*Головна!B131</f>
        <v>13187.099999999999</v>
      </c>
      <c r="G31" s="125">
        <f>419*Головна!B131</f>
        <v>14204.099999999999</v>
      </c>
      <c r="H31" s="125">
        <f>445*Головна!B131</f>
        <v>15085.5</v>
      </c>
      <c r="I31" s="125">
        <f>499*Головна!B131</f>
        <v>16916.1</v>
      </c>
      <c r="J31" s="125">
        <f>569*Головна!B131</f>
        <v>19289.1</v>
      </c>
      <c r="K31" s="126" t="s">
        <v>116</v>
      </c>
    </row>
    <row r="32" spans="1:11" ht="12.75">
      <c r="A32" s="121" t="s">
        <v>97</v>
      </c>
      <c r="B32" s="122" t="s">
        <v>369</v>
      </c>
      <c r="C32" s="123">
        <v>6</v>
      </c>
      <c r="D32" s="124">
        <f>325*Головна!B131</f>
        <v>11017.5</v>
      </c>
      <c r="E32" s="125">
        <f>355*Головна!B131</f>
        <v>12034.5</v>
      </c>
      <c r="F32" s="125">
        <f>389*Головна!B131</f>
        <v>13187.099999999999</v>
      </c>
      <c r="G32" s="125">
        <f>419*Головна!B131</f>
        <v>14204.099999999999</v>
      </c>
      <c r="H32" s="125">
        <f>445*Головна!B131</f>
        <v>15085.5</v>
      </c>
      <c r="I32" s="125">
        <f>499*Головна!B131</f>
        <v>16916.1</v>
      </c>
      <c r="J32" s="125">
        <f>569*Головна!B131</f>
        <v>19289.1</v>
      </c>
      <c r="K32" s="126" t="s">
        <v>116</v>
      </c>
    </row>
    <row r="33" spans="1:11" ht="26.25">
      <c r="A33" s="121" t="s">
        <v>98</v>
      </c>
      <c r="B33" s="122" t="s">
        <v>364</v>
      </c>
      <c r="C33" s="123">
        <v>7</v>
      </c>
      <c r="D33" s="124" t="s">
        <v>116</v>
      </c>
      <c r="E33" s="125">
        <f>435*Головна!B131</f>
        <v>14746.5</v>
      </c>
      <c r="F33" s="125">
        <f>479*Головна!B131</f>
        <v>16238.099999999999</v>
      </c>
      <c r="G33" s="125">
        <f>499*Головна!B131</f>
        <v>16916.1</v>
      </c>
      <c r="H33" s="125">
        <f>535*Головна!B131</f>
        <v>18136.5</v>
      </c>
      <c r="I33" s="125">
        <f>609*Головна!B131</f>
        <v>20645.1</v>
      </c>
      <c r="J33" s="125">
        <f>679*Головна!B131</f>
        <v>23018.1</v>
      </c>
      <c r="K33" s="126" t="s">
        <v>116</v>
      </c>
    </row>
    <row r="34" spans="1:11" ht="26.25">
      <c r="A34" s="121" t="s">
        <v>99</v>
      </c>
      <c r="B34" s="122" t="s">
        <v>381</v>
      </c>
      <c r="C34" s="123">
        <v>7</v>
      </c>
      <c r="D34" s="124">
        <f>399*Головна!B131</f>
        <v>13526.099999999999</v>
      </c>
      <c r="E34" s="125">
        <f>435*Головна!B131</f>
        <v>14746.5</v>
      </c>
      <c r="F34" s="125">
        <f>479*Головна!B131</f>
        <v>16238.099999999999</v>
      </c>
      <c r="G34" s="125">
        <f>499*Головна!B131</f>
        <v>16916.1</v>
      </c>
      <c r="H34" s="125">
        <f>535*Головна!B131</f>
        <v>18136.5</v>
      </c>
      <c r="I34" s="125">
        <f>609*Головна!B131</f>
        <v>20645.1</v>
      </c>
      <c r="J34" s="125">
        <f>679*Головна!B131</f>
        <v>23018.1</v>
      </c>
      <c r="K34" s="126" t="s">
        <v>116</v>
      </c>
    </row>
    <row r="35" spans="1:11" ht="12.75">
      <c r="A35" s="121" t="s">
        <v>100</v>
      </c>
      <c r="B35" s="122" t="s">
        <v>345</v>
      </c>
      <c r="C35" s="123">
        <v>4</v>
      </c>
      <c r="D35" s="124">
        <f>279*Головна!B131</f>
        <v>9458.1</v>
      </c>
      <c r="E35" s="125">
        <f>319*Головна!B131</f>
        <v>10814.1</v>
      </c>
      <c r="F35" s="125">
        <f>349*Головна!B131</f>
        <v>11831.1</v>
      </c>
      <c r="G35" s="125">
        <f>379*Головна!B131</f>
        <v>12848.1</v>
      </c>
      <c r="H35" s="125">
        <f>399*Головна!B131</f>
        <v>13526.099999999999</v>
      </c>
      <c r="I35" s="125">
        <f>469*Головна!B131</f>
        <v>15899.099999999999</v>
      </c>
      <c r="J35" s="125">
        <f>519*Головна!B131</f>
        <v>17594.1</v>
      </c>
      <c r="K35" s="126" t="s">
        <v>116</v>
      </c>
    </row>
    <row r="36" spans="1:11" ht="12.75">
      <c r="A36" s="121" t="s">
        <v>101</v>
      </c>
      <c r="B36" s="122" t="s">
        <v>382</v>
      </c>
      <c r="C36" s="123">
        <v>1</v>
      </c>
      <c r="D36" s="124">
        <f>225*Головна!B131</f>
        <v>7627.5</v>
      </c>
      <c r="E36" s="125">
        <f>255*Головна!B131</f>
        <v>8644.5</v>
      </c>
      <c r="F36" s="125">
        <f>289*Головна!B131</f>
        <v>9797.1</v>
      </c>
      <c r="G36" s="125">
        <f>319*Головна!B131</f>
        <v>10814.1</v>
      </c>
      <c r="H36" s="125">
        <f>349*Головна!B131</f>
        <v>11831.1</v>
      </c>
      <c r="I36" s="125">
        <f>399*Головна!B131</f>
        <v>13526.099999999999</v>
      </c>
      <c r="J36" s="125">
        <f>459*Головна!B131</f>
        <v>15560.099999999999</v>
      </c>
      <c r="K36" s="126" t="s">
        <v>116</v>
      </c>
    </row>
    <row r="37" spans="1:11" ht="12.75">
      <c r="A37" s="121" t="s">
        <v>102</v>
      </c>
      <c r="B37" s="122" t="s">
        <v>343</v>
      </c>
      <c r="C37" s="123">
        <v>5</v>
      </c>
      <c r="D37" s="124" t="s">
        <v>116</v>
      </c>
      <c r="E37" s="125">
        <f>349*Головна!B131</f>
        <v>11831.1</v>
      </c>
      <c r="F37" s="125">
        <f>379*Головна!B131</f>
        <v>12848.1</v>
      </c>
      <c r="G37" s="125">
        <f>409*Головна!B131</f>
        <v>13865.099999999999</v>
      </c>
      <c r="H37" s="125">
        <f>439*Головна!B131</f>
        <v>14882.099999999999</v>
      </c>
      <c r="I37" s="125">
        <f>499*Головна!B131</f>
        <v>16916.1</v>
      </c>
      <c r="J37" s="125">
        <f>569*Головна!B131</f>
        <v>19289.1</v>
      </c>
      <c r="K37" s="126" t="s">
        <v>116</v>
      </c>
    </row>
    <row r="38" spans="1:11" ht="12.75">
      <c r="A38" s="121" t="s">
        <v>103</v>
      </c>
      <c r="B38" s="122" t="s">
        <v>344</v>
      </c>
      <c r="C38" s="123">
        <v>7</v>
      </c>
      <c r="D38" s="124" t="s">
        <v>116</v>
      </c>
      <c r="E38" s="125" t="s">
        <v>116</v>
      </c>
      <c r="F38" s="125" t="s">
        <v>116</v>
      </c>
      <c r="G38" s="125">
        <f>499*Головна!B131</f>
        <v>16916.1</v>
      </c>
      <c r="H38" s="125">
        <f>549*Головна!B131</f>
        <v>18611.1</v>
      </c>
      <c r="I38" s="125">
        <f>599*Головна!B131</f>
        <v>20306.1</v>
      </c>
      <c r="J38" s="125">
        <f>685*Головна!B131</f>
        <v>23221.5</v>
      </c>
      <c r="K38" s="126">
        <f>759*Головна!B131</f>
        <v>25730.1</v>
      </c>
    </row>
    <row r="39" spans="1:11" ht="12.75">
      <c r="A39" s="121" t="s">
        <v>133</v>
      </c>
      <c r="B39" s="122" t="s">
        <v>337</v>
      </c>
      <c r="C39" s="123">
        <v>0</v>
      </c>
      <c r="D39" s="124">
        <f>199*Головна!B131</f>
        <v>6746.099999999999</v>
      </c>
      <c r="E39" s="125">
        <f>225*Головна!B131</f>
        <v>7627.5</v>
      </c>
      <c r="F39" s="125">
        <f>249*Головна!B131</f>
        <v>8441.1</v>
      </c>
      <c r="G39" s="125">
        <f>279*Головна!B131</f>
        <v>9458.1</v>
      </c>
      <c r="H39" s="125">
        <f>309*Головна!B131</f>
        <v>10475.1</v>
      </c>
      <c r="I39" s="125">
        <f>359*Головна!B131</f>
        <v>12170.1</v>
      </c>
      <c r="J39" s="125">
        <f>409*Головна!B131</f>
        <v>13865.099999999999</v>
      </c>
      <c r="K39" s="126" t="s">
        <v>116</v>
      </c>
    </row>
    <row r="40" spans="1:11" ht="12.75">
      <c r="A40" s="121" t="s">
        <v>134</v>
      </c>
      <c r="B40" s="122" t="s">
        <v>338</v>
      </c>
      <c r="C40" s="123">
        <v>1</v>
      </c>
      <c r="D40" s="124">
        <f>225*Головна!B131</f>
        <v>7627.5</v>
      </c>
      <c r="E40" s="125">
        <f>255*Головна!B131</f>
        <v>8644.5</v>
      </c>
      <c r="F40" s="125">
        <f>285*Головна!B131</f>
        <v>9661.5</v>
      </c>
      <c r="G40" s="125">
        <f>315*Головна!B131</f>
        <v>10678.5</v>
      </c>
      <c r="H40" s="125">
        <f>349*Головна!B131</f>
        <v>11831.1</v>
      </c>
      <c r="I40" s="125">
        <f>409*Головна!B131</f>
        <v>13865.099999999999</v>
      </c>
      <c r="J40" s="125">
        <f>459*Головна!B131</f>
        <v>15560.099999999999</v>
      </c>
      <c r="K40" s="126" t="s">
        <v>116</v>
      </c>
    </row>
    <row r="41" spans="1:11" ht="12.75">
      <c r="A41" s="121" t="s">
        <v>135</v>
      </c>
      <c r="B41" s="122" t="s">
        <v>339</v>
      </c>
      <c r="C41" s="123">
        <v>2</v>
      </c>
      <c r="D41" s="124">
        <f>255*Головна!B131</f>
        <v>8644.5</v>
      </c>
      <c r="E41" s="125">
        <f>285*Головна!B131</f>
        <v>9661.5</v>
      </c>
      <c r="F41" s="125">
        <f>315*Головна!B131</f>
        <v>10678.5</v>
      </c>
      <c r="G41" s="125">
        <f>349*Головна!B131</f>
        <v>11831.1</v>
      </c>
      <c r="H41" s="125">
        <f>359*Головна!B131</f>
        <v>12170.1</v>
      </c>
      <c r="I41" s="125">
        <f>429*Головна!B131</f>
        <v>14543.099999999999</v>
      </c>
      <c r="J41" s="125">
        <f>499*Головна!B131</f>
        <v>16916.1</v>
      </c>
      <c r="K41" s="126" t="s">
        <v>116</v>
      </c>
    </row>
    <row r="42" spans="1:11" ht="12.75">
      <c r="A42" s="121" t="s">
        <v>136</v>
      </c>
      <c r="B42" s="122" t="s">
        <v>340</v>
      </c>
      <c r="C42" s="123">
        <v>3</v>
      </c>
      <c r="D42" s="124">
        <f>269*Головна!B131</f>
        <v>9119.1</v>
      </c>
      <c r="E42" s="125">
        <f>299*Головна!B131</f>
        <v>10136.1</v>
      </c>
      <c r="F42" s="125">
        <f>329*Головна!B131</f>
        <v>11153.1</v>
      </c>
      <c r="G42" s="125">
        <f>369*Головна!B131</f>
        <v>12509.1</v>
      </c>
      <c r="H42" s="125">
        <f>389*Головна!B131</f>
        <v>13187.099999999999</v>
      </c>
      <c r="I42" s="125">
        <f>449*Головна!B131</f>
        <v>15221.099999999999</v>
      </c>
      <c r="J42" s="125">
        <f>515*Головна!B131</f>
        <v>17458.5</v>
      </c>
      <c r="K42" s="126" t="s">
        <v>116</v>
      </c>
    </row>
    <row r="43" spans="1:11" ht="12.75">
      <c r="A43" s="121" t="s">
        <v>137</v>
      </c>
      <c r="B43" s="122" t="s">
        <v>341</v>
      </c>
      <c r="C43" s="123">
        <v>4</v>
      </c>
      <c r="D43" s="124">
        <f>285*Головна!B131</f>
        <v>9661.5</v>
      </c>
      <c r="E43" s="125">
        <f>315*Головна!B131</f>
        <v>10678.5</v>
      </c>
      <c r="F43" s="125">
        <f>345*Головна!B131</f>
        <v>11695.5</v>
      </c>
      <c r="G43" s="125">
        <f>379*Головна!B131</f>
        <v>12848.1</v>
      </c>
      <c r="H43" s="125">
        <f>409*Головна!B131</f>
        <v>13865.099999999999</v>
      </c>
      <c r="I43" s="125">
        <f>469*Головна!B131</f>
        <v>15899.099999999999</v>
      </c>
      <c r="J43" s="125">
        <f>529*Головна!B131</f>
        <v>17933.1</v>
      </c>
      <c r="K43" s="126" t="s">
        <v>116</v>
      </c>
    </row>
    <row r="44" spans="1:11" ht="12.75">
      <c r="A44" s="121" t="s">
        <v>138</v>
      </c>
      <c r="B44" s="122" t="s">
        <v>342</v>
      </c>
      <c r="C44" s="123">
        <v>5</v>
      </c>
      <c r="D44" s="124">
        <f>319*Головна!B131</f>
        <v>10814.1</v>
      </c>
      <c r="E44" s="125">
        <f>349*Головна!B131</f>
        <v>11831.1</v>
      </c>
      <c r="F44" s="125">
        <f>379*Головна!B131</f>
        <v>12848.1</v>
      </c>
      <c r="G44" s="125">
        <f>409*Головна!B131</f>
        <v>13865.099999999999</v>
      </c>
      <c r="H44" s="125">
        <f>439*Головна!B131</f>
        <v>14882.099999999999</v>
      </c>
      <c r="I44" s="125">
        <f>499*Головна!B131</f>
        <v>16916.1</v>
      </c>
      <c r="J44" s="125">
        <f>559*Головна!B131</f>
        <v>18950.1</v>
      </c>
      <c r="K44" s="126" t="s">
        <v>116</v>
      </c>
    </row>
    <row r="45" spans="1:11" ht="12.75">
      <c r="A45" s="121" t="s">
        <v>104</v>
      </c>
      <c r="B45" s="122" t="s">
        <v>383</v>
      </c>
      <c r="C45" s="123">
        <v>2</v>
      </c>
      <c r="D45" s="124">
        <f>249*Головна!B131</f>
        <v>8441.1</v>
      </c>
      <c r="E45" s="125">
        <f>279*Головна!B131</f>
        <v>9458.1</v>
      </c>
      <c r="F45" s="125">
        <f>319*Головна!B131</f>
        <v>10814.1</v>
      </c>
      <c r="G45" s="125">
        <f>349*Головна!B131</f>
        <v>11831.1</v>
      </c>
      <c r="H45" s="125">
        <f>379*Головна!B131</f>
        <v>12848.1</v>
      </c>
      <c r="I45" s="125">
        <f>429*Головна!B131</f>
        <v>14543.099999999999</v>
      </c>
      <c r="J45" s="125">
        <f>499*Головна!B131</f>
        <v>16916.1</v>
      </c>
      <c r="K45" s="126" t="s">
        <v>116</v>
      </c>
    </row>
    <row r="46" spans="1:11" ht="12.75">
      <c r="A46" s="121" t="s">
        <v>105</v>
      </c>
      <c r="B46" s="122" t="s">
        <v>336</v>
      </c>
      <c r="C46" s="123">
        <v>5</v>
      </c>
      <c r="D46" s="124" t="s">
        <v>116</v>
      </c>
      <c r="E46" s="125">
        <f>349*Головна!B131</f>
        <v>11831.1</v>
      </c>
      <c r="F46" s="125">
        <f>379*Головна!B131</f>
        <v>12848.1</v>
      </c>
      <c r="G46" s="125">
        <f>419*Головна!B131</f>
        <v>14204.099999999999</v>
      </c>
      <c r="H46" s="125">
        <f>439*Головна!B131</f>
        <v>14882.099999999999</v>
      </c>
      <c r="I46" s="125">
        <f>499*Головна!B131</f>
        <v>16916.1</v>
      </c>
      <c r="J46" s="125">
        <f>559*Головна!B131</f>
        <v>18950.1</v>
      </c>
      <c r="K46" s="126" t="s">
        <v>116</v>
      </c>
    </row>
    <row r="47" spans="1:11" ht="12.75">
      <c r="A47" s="121" t="s">
        <v>106</v>
      </c>
      <c r="B47" s="122" t="s">
        <v>335</v>
      </c>
      <c r="C47" s="123">
        <v>2</v>
      </c>
      <c r="D47" s="124" t="s">
        <v>116</v>
      </c>
      <c r="E47" s="125">
        <f>289*Головна!B131</f>
        <v>9797.1</v>
      </c>
      <c r="F47" s="125">
        <f>315*Головна!B131</f>
        <v>10678.5</v>
      </c>
      <c r="G47" s="125">
        <f>349*Головна!B131</f>
        <v>11831.1</v>
      </c>
      <c r="H47" s="125">
        <f>375*Головна!B131</f>
        <v>12712.5</v>
      </c>
      <c r="I47" s="125">
        <f>439*Головна!B131</f>
        <v>14882.099999999999</v>
      </c>
      <c r="J47" s="125">
        <f>499*Головна!B131</f>
        <v>16916.1</v>
      </c>
      <c r="K47" s="126" t="s">
        <v>116</v>
      </c>
    </row>
    <row r="48" spans="1:11" ht="27" thickBot="1">
      <c r="A48" s="129" t="s">
        <v>107</v>
      </c>
      <c r="B48" s="130" t="s">
        <v>365</v>
      </c>
      <c r="C48" s="131">
        <v>5</v>
      </c>
      <c r="D48" s="132">
        <f>319*Головна!B131</f>
        <v>10814.1</v>
      </c>
      <c r="E48" s="133">
        <f>349*Головна!B131</f>
        <v>11831.1</v>
      </c>
      <c r="F48" s="133">
        <f>379*Головна!B131</f>
        <v>12848.1</v>
      </c>
      <c r="G48" s="133">
        <f>419*Головна!B131</f>
        <v>14204.099999999999</v>
      </c>
      <c r="H48" s="133">
        <f>449*Головна!B131</f>
        <v>15221.099999999999</v>
      </c>
      <c r="I48" s="133">
        <f>499*Головна!B131</f>
        <v>16916.1</v>
      </c>
      <c r="J48" s="133">
        <f>569*Головна!B131</f>
        <v>19289.1</v>
      </c>
      <c r="K48" s="134" t="s">
        <v>116</v>
      </c>
    </row>
    <row r="49" ht="24.75" customHeight="1"/>
    <row r="50" spans="1:11" ht="27" customHeight="1">
      <c r="A50" s="582" t="s">
        <v>323</v>
      </c>
      <c r="B50" s="583"/>
      <c r="C50" s="32"/>
      <c r="D50" s="585" t="s">
        <v>324</v>
      </c>
      <c r="E50" s="585"/>
      <c r="F50" s="32"/>
      <c r="G50" s="584" t="s">
        <v>325</v>
      </c>
      <c r="H50" s="584"/>
      <c r="I50" s="583" t="s">
        <v>309</v>
      </c>
      <c r="J50" s="583"/>
      <c r="K50" s="32"/>
    </row>
    <row r="51" spans="1:11" ht="12.75" customHeight="1">
      <c r="A51" s="31"/>
      <c r="B51" s="31"/>
      <c r="C51" s="32"/>
      <c r="D51" s="585"/>
      <c r="E51" s="585"/>
      <c r="F51" s="32"/>
      <c r="G51" s="584" t="s">
        <v>326</v>
      </c>
      <c r="H51" s="584"/>
      <c r="I51" s="583" t="s">
        <v>310</v>
      </c>
      <c r="J51" s="583"/>
      <c r="K51" s="32"/>
    </row>
    <row r="52" spans="1:11" ht="12.75">
      <c r="A52" s="31"/>
      <c r="B52" s="31"/>
      <c r="C52" s="32"/>
      <c r="D52" s="32"/>
      <c r="E52" s="32"/>
      <c r="F52" s="32"/>
      <c r="G52" s="32"/>
      <c r="H52" s="32"/>
      <c r="I52" s="31"/>
      <c r="J52" s="31"/>
      <c r="K52" s="32"/>
    </row>
    <row r="53" spans="1:11" ht="12.75">
      <c r="A53" s="31"/>
      <c r="B53" s="31"/>
      <c r="C53" s="32"/>
      <c r="D53" s="32"/>
      <c r="E53" s="32"/>
      <c r="F53" s="32"/>
      <c r="G53" s="32"/>
      <c r="H53" s="32"/>
      <c r="I53" s="32"/>
      <c r="J53" s="32"/>
      <c r="K53" s="21"/>
    </row>
    <row r="54" spans="1:11" ht="24.75" customHeight="1">
      <c r="A54" s="582" t="s">
        <v>332</v>
      </c>
      <c r="B54" s="583"/>
      <c r="C54" s="32"/>
      <c r="D54" s="585" t="s">
        <v>324</v>
      </c>
      <c r="E54" s="585"/>
      <c r="F54" s="32"/>
      <c r="G54" s="584" t="s">
        <v>327</v>
      </c>
      <c r="H54" s="584"/>
      <c r="I54" s="583" t="s">
        <v>311</v>
      </c>
      <c r="J54" s="583"/>
      <c r="K54" s="21"/>
    </row>
    <row r="55" spans="1:11" ht="12.75" customHeight="1">
      <c r="A55" s="583" t="s">
        <v>330</v>
      </c>
      <c r="B55" s="583"/>
      <c r="C55" s="32"/>
      <c r="D55" s="585"/>
      <c r="E55" s="585"/>
      <c r="F55" s="32"/>
      <c r="G55" s="584" t="s">
        <v>328</v>
      </c>
      <c r="H55" s="584"/>
      <c r="I55" s="583" t="s">
        <v>312</v>
      </c>
      <c r="J55" s="583"/>
      <c r="K55" s="21"/>
    </row>
    <row r="56" spans="1:11" ht="12.75" customHeight="1">
      <c r="A56" s="31"/>
      <c r="B56" s="31"/>
      <c r="C56" s="32"/>
      <c r="D56" s="585"/>
      <c r="E56" s="585"/>
      <c r="F56" s="32"/>
      <c r="G56" s="584" t="s">
        <v>329</v>
      </c>
      <c r="H56" s="584"/>
      <c r="I56" s="583" t="s">
        <v>313</v>
      </c>
      <c r="J56" s="583"/>
      <c r="K56" s="21"/>
    </row>
    <row r="57" spans="1:11" ht="12.75">
      <c r="A57" s="31"/>
      <c r="B57" s="31"/>
      <c r="C57" s="32"/>
      <c r="D57" s="32"/>
      <c r="E57" s="32"/>
      <c r="F57" s="32"/>
      <c r="G57" s="32"/>
      <c r="H57" s="32"/>
      <c r="I57" s="31"/>
      <c r="J57" s="31"/>
      <c r="K57" s="21"/>
    </row>
    <row r="58" spans="1:11" ht="12.75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21"/>
    </row>
    <row r="59" spans="1:11" ht="12.75">
      <c r="A59" s="33" t="s">
        <v>331</v>
      </c>
      <c r="B59" s="31"/>
      <c r="C59" s="34"/>
      <c r="D59" s="32"/>
      <c r="E59" s="32"/>
      <c r="F59" s="32"/>
      <c r="G59" s="32"/>
      <c r="H59" s="32"/>
      <c r="I59" s="32"/>
      <c r="J59" s="32"/>
      <c r="K59" s="21"/>
    </row>
    <row r="60" spans="1:11" ht="12.75">
      <c r="A60" s="31"/>
      <c r="B60" s="31" t="s">
        <v>334</v>
      </c>
      <c r="C60" s="34">
        <v>0.1</v>
      </c>
      <c r="D60" s="32"/>
      <c r="E60" s="32"/>
      <c r="F60" s="32"/>
      <c r="G60" s="32"/>
      <c r="H60" s="32"/>
      <c r="I60" s="32"/>
      <c r="J60" s="32"/>
      <c r="K60" s="21"/>
    </row>
    <row r="61" spans="1:11" ht="12.75">
      <c r="A61" s="31"/>
      <c r="B61" s="31" t="s">
        <v>333</v>
      </c>
      <c r="C61" s="34">
        <v>0.2</v>
      </c>
      <c r="D61" s="32"/>
      <c r="E61" s="32"/>
      <c r="F61" s="32"/>
      <c r="G61" s="32"/>
      <c r="H61" s="32"/>
      <c r="I61" s="32"/>
      <c r="J61" s="32"/>
      <c r="K61" s="21"/>
    </row>
    <row r="63" ht="12.75"/>
    <row r="64" ht="12.75"/>
    <row r="65" ht="12.75"/>
    <row r="66" spans="1:2" ht="12.75">
      <c r="A66"/>
      <c r="B66"/>
    </row>
    <row r="67" spans="1:2" ht="12.75">
      <c r="A67"/>
      <c r="B67"/>
    </row>
    <row r="68" spans="1:2" ht="12.75" customHeight="1">
      <c r="A68"/>
      <c r="B68"/>
    </row>
    <row r="69" spans="1:2" ht="12.75">
      <c r="A69"/>
      <c r="B69"/>
    </row>
    <row r="70" spans="1:2" ht="12.75">
      <c r="A70"/>
      <c r="B70"/>
    </row>
    <row r="71" spans="1:2" ht="17.25" customHeight="1">
      <c r="A71"/>
      <c r="B71"/>
    </row>
    <row r="72" spans="1:2" ht="12.75">
      <c r="A72"/>
      <c r="B72"/>
    </row>
  </sheetData>
  <sheetProtection selectLockedCells="1" selectUnlockedCells="1"/>
  <autoFilter ref="A11:L46"/>
  <mergeCells count="24">
    <mergeCell ref="G56:H56"/>
    <mergeCell ref="I56:J56"/>
    <mergeCell ref="A54:B54"/>
    <mergeCell ref="G54:H54"/>
    <mergeCell ref="I54:J54"/>
    <mergeCell ref="A55:B55"/>
    <mergeCell ref="G55:H55"/>
    <mergeCell ref="I55:J55"/>
    <mergeCell ref="D54:E56"/>
    <mergeCell ref="A50:B50"/>
    <mergeCell ref="G50:H50"/>
    <mergeCell ref="I50:J50"/>
    <mergeCell ref="D50:E51"/>
    <mergeCell ref="G51:H51"/>
    <mergeCell ref="I51:J51"/>
    <mergeCell ref="A8:K9"/>
    <mergeCell ref="A1:K1"/>
    <mergeCell ref="A3:G3"/>
    <mergeCell ref="A4:G4"/>
    <mergeCell ref="A5:G5"/>
    <mergeCell ref="A6:G6"/>
    <mergeCell ref="A7:G7"/>
    <mergeCell ref="H2:K7"/>
    <mergeCell ref="A2:B2"/>
  </mergeCells>
  <hyperlinks>
    <hyperlink ref="L11" location="Главная!A1" display="на главную"/>
    <hyperlink ref="A5:G5" r:id="rId1" display="Смотрите виды и характеристики панелей INVISION на сайте:"/>
  </hyperlinks>
  <printOptions/>
  <pageMargins left="0.8597222222222223" right="0.65" top="0.24027777777777778" bottom="0.2" header="0.25" footer="0.21"/>
  <pageSetup horizontalDpi="300" verticalDpi="300" orientation="portrait" paperSize="9" scale="6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K29"/>
  <sheetViews>
    <sheetView view="pageBreakPreview" zoomScaleSheetLayoutView="100" zoomScalePageLayoutView="0" workbookViewId="0" topLeftCell="A13">
      <selection activeCell="D18" sqref="D18"/>
    </sheetView>
  </sheetViews>
  <sheetFormatPr defaultColWidth="9.00390625" defaultRowHeight="12.75"/>
  <cols>
    <col min="1" max="1" width="18.50390625" style="89" customWidth="1"/>
    <col min="2" max="2" width="17.00390625" style="90" customWidth="1"/>
    <col min="3" max="5" width="17.625" style="90" customWidth="1"/>
    <col min="6" max="6" width="15.625" style="90" customWidth="1"/>
    <col min="7" max="7" width="14.125" style="0" customWidth="1"/>
  </cols>
  <sheetData>
    <row r="1" spans="1:6" ht="86.25" customHeight="1">
      <c r="A1" s="592"/>
      <c r="B1" s="592"/>
      <c r="C1" s="592"/>
      <c r="D1" s="592"/>
      <c r="E1" s="592"/>
      <c r="F1"/>
    </row>
    <row r="2" spans="1:6" ht="36" customHeight="1">
      <c r="A2" s="601" t="s">
        <v>270</v>
      </c>
      <c r="B2" s="601"/>
      <c r="C2" s="601"/>
      <c r="D2" s="601"/>
      <c r="E2" s="592"/>
      <c r="F2"/>
    </row>
    <row r="3" spans="1:6" ht="13.5" customHeight="1">
      <c r="A3" s="602" t="s">
        <v>370</v>
      </c>
      <c r="B3" s="602"/>
      <c r="C3" s="602"/>
      <c r="D3" s="602"/>
      <c r="E3" s="592"/>
      <c r="F3"/>
    </row>
    <row r="4" spans="1:6" ht="26.25" customHeight="1">
      <c r="A4" s="603" t="s">
        <v>371</v>
      </c>
      <c r="B4" s="603"/>
      <c r="C4" s="603"/>
      <c r="D4" s="603"/>
      <c r="E4" s="592"/>
      <c r="F4"/>
    </row>
    <row r="5" spans="1:6" ht="6.75" customHeight="1">
      <c r="A5" s="592"/>
      <c r="B5" s="592"/>
      <c r="C5" s="592"/>
      <c r="D5" s="592"/>
      <c r="E5" s="592"/>
      <c r="F5"/>
    </row>
    <row r="6" spans="1:10" ht="12.75" customHeight="1">
      <c r="A6" s="79"/>
      <c r="B6" s="478" t="s">
        <v>304</v>
      </c>
      <c r="C6" s="478"/>
      <c r="D6" s="478"/>
      <c r="E6" s="120" t="s">
        <v>263</v>
      </c>
      <c r="G6" s="604"/>
      <c r="H6" s="604"/>
      <c r="I6" s="604"/>
      <c r="J6" s="604"/>
    </row>
    <row r="7" spans="1:10" ht="12.75" customHeight="1" thickBot="1">
      <c r="A7" s="83"/>
      <c r="B7" s="80"/>
      <c r="C7" s="80"/>
      <c r="D7" s="81"/>
      <c r="E7" s="81"/>
      <c r="F7" s="13"/>
      <c r="G7" s="82"/>
      <c r="H7" s="82"/>
      <c r="I7" s="82"/>
      <c r="J7" s="82"/>
    </row>
    <row r="8" spans="1:11" s="14" customFormat="1" ht="17.25" customHeight="1" thickBot="1">
      <c r="A8" s="593" t="s">
        <v>81</v>
      </c>
      <c r="B8" s="595" t="s">
        <v>403</v>
      </c>
      <c r="C8" s="595"/>
      <c r="D8" s="256" t="s">
        <v>349</v>
      </c>
      <c r="E8" s="596" t="s">
        <v>1</v>
      </c>
      <c r="F8" s="84"/>
      <c r="G8" s="85"/>
      <c r="H8" s="86"/>
      <c r="I8" s="86"/>
      <c r="J8" s="86"/>
      <c r="K8" s="86"/>
    </row>
    <row r="9" spans="1:10" s="14" customFormat="1" ht="31.5" customHeight="1" thickBot="1">
      <c r="A9" s="594"/>
      <c r="B9" s="598" t="s">
        <v>0</v>
      </c>
      <c r="C9" s="598"/>
      <c r="D9" s="257" t="s">
        <v>125</v>
      </c>
      <c r="E9" s="597"/>
      <c r="F9" s="84"/>
      <c r="G9" s="85"/>
      <c r="H9" s="86"/>
      <c r="I9" s="86"/>
      <c r="J9" s="86"/>
    </row>
    <row r="10" spans="1:11" s="14" customFormat="1" ht="18" customHeight="1">
      <c r="A10" s="586" t="s">
        <v>772</v>
      </c>
      <c r="B10" s="599" t="s">
        <v>400</v>
      </c>
      <c r="C10" s="600"/>
      <c r="D10" s="258">
        <f>46.8*Головна!$B$131</f>
        <v>1586.5199999999998</v>
      </c>
      <c r="E10" s="259">
        <v>25</v>
      </c>
      <c r="F10" s="84"/>
      <c r="G10" s="85"/>
      <c r="H10" s="86"/>
      <c r="I10" s="86"/>
      <c r="J10" s="86"/>
      <c r="K10" s="86"/>
    </row>
    <row r="11" spans="1:11" s="14" customFormat="1" ht="15" customHeight="1">
      <c r="A11" s="587"/>
      <c r="B11" s="599" t="s">
        <v>401</v>
      </c>
      <c r="C11" s="600"/>
      <c r="D11" s="258">
        <f>55.6*Головна!$B$131</f>
        <v>1884.84</v>
      </c>
      <c r="E11" s="259">
        <v>20</v>
      </c>
      <c r="F11" s="84"/>
      <c r="G11" s="85"/>
      <c r="H11" s="86"/>
      <c r="I11" s="86"/>
      <c r="J11" s="86"/>
      <c r="K11" s="86"/>
    </row>
    <row r="12" spans="1:11" s="14" customFormat="1" ht="13.5" thickBot="1">
      <c r="A12" s="588"/>
      <c r="B12" s="599" t="s">
        <v>402</v>
      </c>
      <c r="C12" s="600"/>
      <c r="D12" s="258">
        <f>70*Головна!$B$131</f>
        <v>2373</v>
      </c>
      <c r="E12" s="259">
        <v>15</v>
      </c>
      <c r="F12" s="84"/>
      <c r="G12" s="85"/>
      <c r="H12" s="86"/>
      <c r="I12" s="86"/>
      <c r="J12" s="86"/>
      <c r="K12" s="86"/>
    </row>
    <row r="13" spans="1:11" s="14" customFormat="1" ht="12.75">
      <c r="A13" s="589" t="s">
        <v>773</v>
      </c>
      <c r="B13" s="606" t="s">
        <v>400</v>
      </c>
      <c r="C13" s="606"/>
      <c r="D13" s="260">
        <f>49.1*Головна!$B$131</f>
        <v>1664.49</v>
      </c>
      <c r="E13" s="259">
        <v>25</v>
      </c>
      <c r="F13" s="84"/>
      <c r="G13" s="85"/>
      <c r="H13" s="86"/>
      <c r="I13" s="86"/>
      <c r="J13" s="86"/>
      <c r="K13" s="86"/>
    </row>
    <row r="14" spans="1:11" s="14" customFormat="1" ht="12.75">
      <c r="A14" s="590"/>
      <c r="B14" s="606" t="s">
        <v>401</v>
      </c>
      <c r="C14" s="606"/>
      <c r="D14" s="260">
        <f>58.3*Головна!$B$131</f>
        <v>1976.37</v>
      </c>
      <c r="E14" s="259">
        <v>20</v>
      </c>
      <c r="F14" s="84"/>
      <c r="G14" s="85"/>
      <c r="H14" s="86"/>
      <c r="I14" s="86"/>
      <c r="J14" s="86"/>
      <c r="K14" s="86"/>
    </row>
    <row r="15" spans="1:11" s="14" customFormat="1" ht="13.5" thickBot="1">
      <c r="A15" s="591"/>
      <c r="B15" s="606" t="s">
        <v>402</v>
      </c>
      <c r="C15" s="606"/>
      <c r="D15" s="260">
        <f>73.5*Головна!$B$131</f>
        <v>2491.65</v>
      </c>
      <c r="E15" s="259">
        <v>15</v>
      </c>
      <c r="F15" s="84"/>
      <c r="G15" s="85"/>
      <c r="H15" s="86"/>
      <c r="I15" s="86"/>
      <c r="J15" s="86"/>
      <c r="K15" s="86"/>
    </row>
    <row r="16" spans="1:6" ht="13.5" customHeight="1">
      <c r="A16" s="589" t="s">
        <v>3</v>
      </c>
      <c r="B16" s="606" t="s">
        <v>400</v>
      </c>
      <c r="C16" s="606"/>
      <c r="D16" s="261">
        <f>56.8*Головна!$B$131</f>
        <v>1925.5199999999998</v>
      </c>
      <c r="E16" s="259">
        <v>25</v>
      </c>
      <c r="F16"/>
    </row>
    <row r="17" spans="1:5" ht="22.5" customHeight="1">
      <c r="A17" s="590"/>
      <c r="B17" s="606" t="s">
        <v>401</v>
      </c>
      <c r="C17" s="606"/>
      <c r="D17" s="261">
        <f>67.4*Головна!$B$131</f>
        <v>2284.86</v>
      </c>
      <c r="E17" s="259">
        <v>20</v>
      </c>
    </row>
    <row r="18" spans="1:5" ht="12.75">
      <c r="A18" s="590"/>
      <c r="B18" s="606" t="s">
        <v>402</v>
      </c>
      <c r="C18" s="606"/>
      <c r="D18" s="261">
        <f>84.9*Головна!$B$131</f>
        <v>2878.11</v>
      </c>
      <c r="E18" s="259">
        <v>15</v>
      </c>
    </row>
    <row r="20" spans="1:4" ht="15">
      <c r="A20" s="262" t="s">
        <v>1205</v>
      </c>
      <c r="B20" s="263"/>
      <c r="C20" s="264"/>
      <c r="D20" s="80"/>
    </row>
    <row r="21" spans="1:4" ht="13.5">
      <c r="A21" s="89" t="s">
        <v>1206</v>
      </c>
      <c r="D21" s="265"/>
    </row>
    <row r="22" spans="1:4" ht="12.75" customHeight="1">
      <c r="A22" s="605"/>
      <c r="B22" s="605"/>
      <c r="C22" s="605"/>
      <c r="D22" s="605"/>
    </row>
    <row r="23" spans="1:4" ht="12.75" customHeight="1">
      <c r="A23" s="605"/>
      <c r="B23" s="605"/>
      <c r="C23" s="605"/>
      <c r="D23" s="266"/>
    </row>
    <row r="24" spans="2:4" ht="13.5">
      <c r="B24" s="170"/>
      <c r="C24" s="267"/>
      <c r="D24" s="268"/>
    </row>
    <row r="25" spans="2:4" ht="13.5">
      <c r="B25" s="170"/>
      <c r="C25" s="170"/>
      <c r="D25" s="268"/>
    </row>
    <row r="26" spans="2:4" ht="13.5">
      <c r="B26" s="170"/>
      <c r="C26" s="170"/>
      <c r="D26" s="268"/>
    </row>
    <row r="27" spans="2:4" ht="13.5">
      <c r="B27" s="170"/>
      <c r="C27" s="170"/>
      <c r="D27" s="268"/>
    </row>
    <row r="28" spans="2:4" ht="13.5">
      <c r="B28" s="23"/>
      <c r="C28" s="23"/>
      <c r="D28" s="268"/>
    </row>
    <row r="29" spans="1:4" ht="12.75">
      <c r="A29" s="502" t="s">
        <v>2</v>
      </c>
      <c r="B29" s="502"/>
      <c r="C29" s="502"/>
      <c r="D29" s="502"/>
    </row>
  </sheetData>
  <sheetProtection/>
  <mergeCells count="27">
    <mergeCell ref="A29:D29"/>
    <mergeCell ref="A23:C23"/>
    <mergeCell ref="B16:C16"/>
    <mergeCell ref="B17:C17"/>
    <mergeCell ref="B12:C12"/>
    <mergeCell ref="B18:C18"/>
    <mergeCell ref="B13:C13"/>
    <mergeCell ref="B14:C14"/>
    <mergeCell ref="B15:C15"/>
    <mergeCell ref="A22:D22"/>
    <mergeCell ref="A1:E1"/>
    <mergeCell ref="A2:D2"/>
    <mergeCell ref="E2:E4"/>
    <mergeCell ref="A3:D3"/>
    <mergeCell ref="A4:D4"/>
    <mergeCell ref="G6:J6"/>
    <mergeCell ref="B6:D6"/>
    <mergeCell ref="A10:A12"/>
    <mergeCell ref="A13:A15"/>
    <mergeCell ref="A16:A18"/>
    <mergeCell ref="A5:E5"/>
    <mergeCell ref="A8:A9"/>
    <mergeCell ref="B8:C8"/>
    <mergeCell ref="E8:E9"/>
    <mergeCell ref="B9:C9"/>
    <mergeCell ref="B10:C10"/>
    <mergeCell ref="B11:C11"/>
  </mergeCells>
  <hyperlinks>
    <hyperlink ref="E6" location="Главная!A1" display="на главную"/>
    <hyperlink ref="A4:D4" r:id="rId1" display="Смотрите виды и характеристики компакт ламината KronoCompact на сайте:"/>
  </hyperlinks>
  <printOptions/>
  <pageMargins left="0.75" right="0.75" top="1" bottom="1" header="0.5" footer="0.5"/>
  <pageSetup horizontalDpi="600" verticalDpi="600" orientation="portrait" paperSize="9" scale="7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50390625" style="171" customWidth="1"/>
    <col min="2" max="2" width="11.125" style="172" customWidth="1"/>
    <col min="7" max="7" width="8.875" style="0" customWidth="1"/>
  </cols>
  <sheetData>
    <row r="1" spans="1:2" ht="13.5" thickBot="1">
      <c r="A1" s="269" t="s">
        <v>778</v>
      </c>
      <c r="B1" s="270" t="s">
        <v>319</v>
      </c>
    </row>
    <row r="2" spans="1:2" ht="21.75" customHeight="1">
      <c r="A2" s="607" t="s">
        <v>772</v>
      </c>
      <c r="B2" s="271" t="s">
        <v>1207</v>
      </c>
    </row>
    <row r="3" spans="1:2" ht="21.75" customHeight="1">
      <c r="A3" s="608"/>
      <c r="B3" s="273" t="s">
        <v>8</v>
      </c>
    </row>
    <row r="4" spans="1:2" ht="12.75" customHeight="1" thickBot="1">
      <c r="A4" s="609"/>
      <c r="B4" s="272" t="s">
        <v>1208</v>
      </c>
    </row>
    <row r="5" spans="1:2" ht="12.75">
      <c r="A5" s="608" t="s">
        <v>773</v>
      </c>
      <c r="B5" s="403" t="s">
        <v>9</v>
      </c>
    </row>
    <row r="6" spans="1:2" ht="12.75">
      <c r="A6" s="608"/>
      <c r="B6" s="273" t="s">
        <v>407</v>
      </c>
    </row>
    <row r="7" spans="1:2" ht="12.75">
      <c r="A7" s="608"/>
      <c r="B7" s="273" t="s">
        <v>408</v>
      </c>
    </row>
    <row r="8" spans="1:2" ht="12.75">
      <c r="A8" s="608"/>
      <c r="B8" s="273" t="s">
        <v>410</v>
      </c>
    </row>
    <row r="9" spans="1:2" ht="12.75">
      <c r="A9" s="608"/>
      <c r="B9" s="273" t="s">
        <v>411</v>
      </c>
    </row>
    <row r="10" spans="1:2" ht="12.75">
      <c r="A10" s="608"/>
      <c r="B10" s="273" t="s">
        <v>10</v>
      </c>
    </row>
    <row r="11" spans="1:2" ht="12.75">
      <c r="A11" s="608"/>
      <c r="B11" s="273" t="s">
        <v>11</v>
      </c>
    </row>
    <row r="12" spans="1:2" ht="12.75">
      <c r="A12" s="608"/>
      <c r="B12" s="273" t="s">
        <v>415</v>
      </c>
    </row>
    <row r="13" spans="1:2" ht="12.75">
      <c r="A13" s="608"/>
      <c r="B13" s="273" t="s">
        <v>1209</v>
      </c>
    </row>
    <row r="14" spans="1:2" ht="12.75">
      <c r="A14" s="608"/>
      <c r="B14" s="273" t="s">
        <v>1210</v>
      </c>
    </row>
    <row r="15" spans="1:2" ht="12.75">
      <c r="A15" s="608"/>
      <c r="B15" s="273" t="s">
        <v>1211</v>
      </c>
    </row>
    <row r="16" spans="1:2" ht="12.75">
      <c r="A16" s="608"/>
      <c r="B16" s="274" t="s">
        <v>1212</v>
      </c>
    </row>
    <row r="17" spans="1:2" ht="12.75">
      <c r="A17" s="608"/>
      <c r="B17" s="274" t="s">
        <v>1213</v>
      </c>
    </row>
    <row r="18" spans="1:2" ht="12.75">
      <c r="A18" s="608"/>
      <c r="B18" s="274" t="s">
        <v>13</v>
      </c>
    </row>
    <row r="19" spans="1:2" ht="12.75">
      <c r="A19" s="608"/>
      <c r="B19" s="274" t="s">
        <v>1214</v>
      </c>
    </row>
    <row r="20" spans="1:2" ht="12.75" customHeight="1">
      <c r="A20" s="608"/>
      <c r="B20" s="274" t="s">
        <v>1215</v>
      </c>
    </row>
    <row r="21" spans="1:2" ht="12.75">
      <c r="A21" s="608"/>
      <c r="B21" s="274" t="s">
        <v>578</v>
      </c>
    </row>
    <row r="22" spans="1:2" ht="12.75">
      <c r="A22" s="608"/>
      <c r="B22" s="274" t="s">
        <v>1216</v>
      </c>
    </row>
    <row r="23" spans="1:2" ht="12.75">
      <c r="A23" s="608"/>
      <c r="B23" s="274" t="s">
        <v>1217</v>
      </c>
    </row>
    <row r="24" spans="1:2" ht="12.75">
      <c r="A24" s="608"/>
      <c r="B24" s="274" t="s">
        <v>1218</v>
      </c>
    </row>
    <row r="25" spans="1:2" ht="12.75">
      <c r="A25" s="608"/>
      <c r="B25" s="274" t="s">
        <v>1219</v>
      </c>
    </row>
    <row r="26" spans="1:2" ht="12.75">
      <c r="A26" s="608"/>
      <c r="B26" s="274" t="s">
        <v>433</v>
      </c>
    </row>
    <row r="27" spans="1:2" ht="12.75">
      <c r="A27" s="608"/>
      <c r="B27" s="274" t="s">
        <v>435</v>
      </c>
    </row>
    <row r="28" spans="1:2" ht="12.75">
      <c r="A28" s="608"/>
      <c r="B28" s="274" t="s">
        <v>1220</v>
      </c>
    </row>
    <row r="29" spans="1:2" ht="12.75">
      <c r="A29" s="608"/>
      <c r="B29" s="274" t="s">
        <v>14</v>
      </c>
    </row>
    <row r="30" spans="1:2" ht="12.75">
      <c r="A30" s="608"/>
      <c r="B30" s="274" t="s">
        <v>453</v>
      </c>
    </row>
    <row r="31" spans="1:2" ht="12.75" customHeight="1" thickBot="1">
      <c r="A31" s="608"/>
      <c r="B31" s="274" t="s">
        <v>455</v>
      </c>
    </row>
    <row r="32" spans="1:2" ht="12.75">
      <c r="A32" s="610" t="s">
        <v>3</v>
      </c>
      <c r="B32" s="271" t="s">
        <v>1221</v>
      </c>
    </row>
    <row r="33" spans="1:2" ht="12.75">
      <c r="A33" s="608"/>
      <c r="B33" s="403" t="s">
        <v>1222</v>
      </c>
    </row>
    <row r="34" spans="1:2" ht="12.75">
      <c r="A34" s="608"/>
      <c r="B34" s="273" t="s">
        <v>1223</v>
      </c>
    </row>
    <row r="35" spans="1:2" ht="12.75">
      <c r="A35" s="608"/>
      <c r="B35" s="273" t="s">
        <v>1224</v>
      </c>
    </row>
    <row r="36" spans="1:2" ht="12.75">
      <c r="A36" s="608"/>
      <c r="B36" s="273" t="s">
        <v>1225</v>
      </c>
    </row>
    <row r="37" spans="1:2" ht="12.75">
      <c r="A37" s="608"/>
      <c r="B37" s="273" t="s">
        <v>1226</v>
      </c>
    </row>
    <row r="38" spans="1:2" ht="12.75">
      <c r="A38" s="608"/>
      <c r="B38" s="273" t="s">
        <v>409</v>
      </c>
    </row>
    <row r="39" spans="1:2" ht="12.75">
      <c r="A39" s="608"/>
      <c r="B39" s="273" t="s">
        <v>15</v>
      </c>
    </row>
    <row r="40" spans="1:2" ht="12.75">
      <c r="A40" s="608"/>
      <c r="B40" s="273" t="s">
        <v>12</v>
      </c>
    </row>
    <row r="41" spans="1:2" ht="12.75">
      <c r="A41" s="608"/>
      <c r="B41" s="273" t="s">
        <v>16</v>
      </c>
    </row>
    <row r="42" spans="1:2" ht="12.75">
      <c r="A42" s="608"/>
      <c r="B42" s="273" t="s">
        <v>430</v>
      </c>
    </row>
    <row r="43" spans="1:2" ht="12.75">
      <c r="A43" s="608"/>
      <c r="B43" s="273" t="s">
        <v>431</v>
      </c>
    </row>
    <row r="44" spans="1:2" ht="12.75">
      <c r="A44" s="608"/>
      <c r="B44" s="273" t="s">
        <v>432</v>
      </c>
    </row>
    <row r="45" spans="1:2" ht="12.75">
      <c r="A45" s="608"/>
      <c r="B45" s="273" t="s">
        <v>434</v>
      </c>
    </row>
    <row r="46" spans="1:2" ht="12.75" customHeight="1">
      <c r="A46" s="608"/>
      <c r="B46" s="273" t="s">
        <v>1227</v>
      </c>
    </row>
    <row r="47" spans="1:2" ht="12.75">
      <c r="A47" s="608"/>
      <c r="B47" s="273" t="s">
        <v>1228</v>
      </c>
    </row>
    <row r="48" spans="1:2" ht="12.75">
      <c r="A48" s="608"/>
      <c r="B48" s="273" t="s">
        <v>438</v>
      </c>
    </row>
    <row r="49" spans="1:2" ht="12.75">
      <c r="A49" s="608"/>
      <c r="B49" s="273" t="s">
        <v>439</v>
      </c>
    </row>
    <row r="50" spans="1:2" ht="12.75">
      <c r="A50" s="608"/>
      <c r="B50" s="273" t="s">
        <v>440</v>
      </c>
    </row>
    <row r="51" spans="1:2" ht="12.75">
      <c r="A51" s="608"/>
      <c r="B51" s="273" t="s">
        <v>579</v>
      </c>
    </row>
    <row r="52" spans="1:2" ht="12.75">
      <c r="A52" s="608"/>
      <c r="B52" s="273" t="s">
        <v>442</v>
      </c>
    </row>
    <row r="53" spans="1:2" ht="12.75">
      <c r="A53" s="608"/>
      <c r="B53" s="273" t="s">
        <v>443</v>
      </c>
    </row>
    <row r="54" spans="1:2" ht="12.75">
      <c r="A54" s="608"/>
      <c r="B54" s="273" t="s">
        <v>444</v>
      </c>
    </row>
    <row r="55" spans="1:2" ht="12.75">
      <c r="A55" s="608"/>
      <c r="B55" s="273" t="s">
        <v>445</v>
      </c>
    </row>
    <row r="56" spans="1:2" ht="12.75">
      <c r="A56" s="608"/>
      <c r="B56" s="273" t="s">
        <v>446</v>
      </c>
    </row>
    <row r="57" spans="1:2" ht="12.75" customHeight="1">
      <c r="A57" s="608"/>
      <c r="B57" s="273" t="s">
        <v>1229</v>
      </c>
    </row>
    <row r="58" spans="1:2" ht="12.75">
      <c r="A58" s="608"/>
      <c r="B58" s="273" t="s">
        <v>449</v>
      </c>
    </row>
    <row r="59" spans="1:2" ht="12.75">
      <c r="A59" s="608"/>
      <c r="B59" s="273" t="s">
        <v>450</v>
      </c>
    </row>
    <row r="60" spans="1:2" ht="12.75">
      <c r="A60" s="608"/>
      <c r="B60" s="273" t="s">
        <v>451</v>
      </c>
    </row>
    <row r="61" spans="1:2" ht="12.75">
      <c r="A61" s="608"/>
      <c r="B61" s="273" t="s">
        <v>454</v>
      </c>
    </row>
    <row r="62" spans="1:2" ht="12.75" customHeight="1">
      <c r="A62" s="608"/>
      <c r="B62" s="273" t="s">
        <v>456</v>
      </c>
    </row>
    <row r="63" spans="1:2" ht="13.5" thickBot="1">
      <c r="A63" s="611"/>
      <c r="B63" s="272" t="s">
        <v>457</v>
      </c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16" ht="12.75">
      <c r="A73"/>
      <c r="B73"/>
      <c r="P73" t="s">
        <v>476</v>
      </c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 customHeight="1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 customHeight="1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 customHeight="1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 customHeight="1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 customHeight="1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63" ht="12.75" customHeight="1"/>
    <row r="249" ht="12.75" customHeight="1"/>
  </sheetData>
  <sheetProtection/>
  <mergeCells count="3">
    <mergeCell ref="A2:A4"/>
    <mergeCell ref="A5:A31"/>
    <mergeCell ref="A32:A6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B38" sqref="B38"/>
    </sheetView>
  </sheetViews>
  <sheetFormatPr defaultColWidth="9.00390625" defaultRowHeight="12.75"/>
  <cols>
    <col min="1" max="1" width="18.50390625" style="89" customWidth="1"/>
    <col min="2" max="2" width="17.00390625" style="90" customWidth="1"/>
    <col min="3" max="5" width="17.625" style="90" customWidth="1"/>
    <col min="6" max="6" width="18.125" style="90" customWidth="1"/>
  </cols>
  <sheetData>
    <row r="1" spans="1:6" ht="86.25" customHeight="1">
      <c r="A1" s="592"/>
      <c r="B1" s="592"/>
      <c r="C1" s="592"/>
      <c r="D1" s="592"/>
      <c r="E1" s="592"/>
      <c r="F1"/>
    </row>
    <row r="2" spans="1:6" ht="36" customHeight="1">
      <c r="A2" s="601" t="s">
        <v>17</v>
      </c>
      <c r="B2" s="601"/>
      <c r="C2" s="601"/>
      <c r="D2" s="601"/>
      <c r="E2" s="592"/>
      <c r="F2"/>
    </row>
    <row r="3" spans="1:6" ht="13.5" customHeight="1">
      <c r="A3" s="602" t="s">
        <v>619</v>
      </c>
      <c r="B3" s="602"/>
      <c r="C3" s="602"/>
      <c r="D3" s="602"/>
      <c r="E3" s="592"/>
      <c r="F3"/>
    </row>
    <row r="4" spans="1:6" ht="13.5" customHeight="1">
      <c r="A4" s="603"/>
      <c r="B4" s="603"/>
      <c r="C4" s="603"/>
      <c r="D4" s="603"/>
      <c r="E4" s="592"/>
      <c r="F4"/>
    </row>
    <row r="5" spans="1:6" ht="12.75" customHeight="1">
      <c r="A5" s="592"/>
      <c r="B5" s="592"/>
      <c r="C5" s="592"/>
      <c r="D5" s="592"/>
      <c r="E5" s="592"/>
      <c r="F5"/>
    </row>
    <row r="6" spans="1:7" ht="12.75" customHeight="1">
      <c r="A6" s="79"/>
      <c r="B6" s="80"/>
      <c r="C6" s="619" t="s">
        <v>18</v>
      </c>
      <c r="D6" s="619"/>
      <c r="E6" s="619"/>
      <c r="G6" s="82"/>
    </row>
    <row r="7" spans="1:7" ht="12.75" customHeight="1">
      <c r="A7" s="79"/>
      <c r="B7" s="80"/>
      <c r="C7" s="81"/>
      <c r="D7" s="81"/>
      <c r="E7" s="81"/>
      <c r="F7" s="13"/>
      <c r="G7" s="82"/>
    </row>
    <row r="8" spans="1:8" s="14" customFormat="1" ht="17.25" customHeight="1">
      <c r="A8" s="83"/>
      <c r="B8" s="80"/>
      <c r="C8" s="80"/>
      <c r="D8" s="275" t="s">
        <v>4</v>
      </c>
      <c r="E8" s="81"/>
      <c r="F8" s="84"/>
      <c r="G8" s="86"/>
      <c r="H8" s="86"/>
    </row>
    <row r="9" spans="1:8" s="14" customFormat="1" ht="14.25" customHeight="1" thickBot="1">
      <c r="A9" s="83"/>
      <c r="B9" s="80"/>
      <c r="C9" s="80"/>
      <c r="D9" s="81"/>
      <c r="E9" s="81"/>
      <c r="F9" s="13"/>
      <c r="G9" s="82"/>
      <c r="H9" s="86"/>
    </row>
    <row r="10" spans="1:8" s="14" customFormat="1" ht="12.75" customHeight="1" thickBot="1">
      <c r="A10" s="620" t="s">
        <v>403</v>
      </c>
      <c r="B10" s="621"/>
      <c r="C10" s="622" t="s">
        <v>19</v>
      </c>
      <c r="D10" s="623"/>
      <c r="E10" s="624"/>
      <c r="F10" s="596" t="s">
        <v>1</v>
      </c>
      <c r="G10" s="86"/>
      <c r="H10" s="86"/>
    </row>
    <row r="11" spans="1:8" s="14" customFormat="1" ht="12.75" customHeight="1" thickBot="1">
      <c r="A11" s="612" t="s">
        <v>0</v>
      </c>
      <c r="B11" s="613"/>
      <c r="C11" s="276" t="s">
        <v>5</v>
      </c>
      <c r="D11" s="277" t="s">
        <v>773</v>
      </c>
      <c r="E11" s="278" t="s">
        <v>3</v>
      </c>
      <c r="F11" s="596"/>
      <c r="G11" s="86"/>
      <c r="H11" s="86"/>
    </row>
    <row r="12" spans="1:8" s="14" customFormat="1" ht="12.75" customHeight="1">
      <c r="A12" s="614" t="s">
        <v>148</v>
      </c>
      <c r="B12" s="614"/>
      <c r="C12" s="279">
        <f>70*Головна!$B$131</f>
        <v>2373</v>
      </c>
      <c r="D12" s="279">
        <f>73.5*Головна!$B$131</f>
        <v>2491.65</v>
      </c>
      <c r="E12" s="279">
        <f>84.9*Головна!$B$131</f>
        <v>2878.11</v>
      </c>
      <c r="F12" s="280">
        <v>15</v>
      </c>
      <c r="G12" s="86"/>
      <c r="H12" s="86"/>
    </row>
    <row r="13" spans="1:8" s="14" customFormat="1" ht="12.75" customHeight="1">
      <c r="A13" s="615" t="s">
        <v>112</v>
      </c>
      <c r="B13" s="615"/>
      <c r="C13" s="279">
        <f>81.4*Головна!$B$131</f>
        <v>2759.46</v>
      </c>
      <c r="D13" s="279">
        <f>85.5*Головна!$B$131</f>
        <v>2898.45</v>
      </c>
      <c r="E13" s="279">
        <f>98.7*Головна!$B$131</f>
        <v>3345.93</v>
      </c>
      <c r="F13" s="281">
        <v>12</v>
      </c>
      <c r="G13" s="86"/>
      <c r="H13" s="86"/>
    </row>
    <row r="14" spans="1:8" s="14" customFormat="1" ht="12.75" customHeight="1" thickBot="1">
      <c r="A14" s="617" t="s">
        <v>6</v>
      </c>
      <c r="B14" s="617"/>
      <c r="C14" s="279">
        <f>87*Головна!$B$131</f>
        <v>2949.2999999999997</v>
      </c>
      <c r="D14" s="279">
        <f>91.3*Головна!$B$131</f>
        <v>3095.0699999999997</v>
      </c>
      <c r="E14" s="279">
        <f>105.5*Головна!$B$131</f>
        <v>3576.45</v>
      </c>
      <c r="F14" s="282">
        <v>12</v>
      </c>
      <c r="G14" s="86"/>
      <c r="H14" s="86"/>
    </row>
    <row r="15" spans="1:8" s="14" customFormat="1" ht="12.75" customHeight="1">
      <c r="A15" s="87"/>
      <c r="B15" s="23"/>
      <c r="C15" s="88"/>
      <c r="D15" s="264"/>
      <c r="E15" s="88"/>
      <c r="F15" s="84"/>
      <c r="G15" s="85"/>
      <c r="H15" s="86"/>
    </row>
    <row r="16" spans="1:8" s="14" customFormat="1" ht="12.75" customHeight="1">
      <c r="A16" s="87" t="s">
        <v>20</v>
      </c>
      <c r="B16" s="23"/>
      <c r="C16" s="88"/>
      <c r="D16" s="264"/>
      <c r="E16" s="88"/>
      <c r="F16" s="84"/>
      <c r="G16" s="85"/>
      <c r="H16" s="86"/>
    </row>
    <row r="17" spans="1:8" s="14" customFormat="1" ht="12.75" customHeight="1">
      <c r="A17" s="87" t="s">
        <v>21</v>
      </c>
      <c r="B17" s="23"/>
      <c r="C17" s="88"/>
      <c r="D17" s="264"/>
      <c r="E17" s="88"/>
      <c r="F17" s="84"/>
      <c r="G17" s="85"/>
      <c r="H17" s="86"/>
    </row>
    <row r="18" spans="1:8" s="14" customFormat="1" ht="12.75" customHeight="1">
      <c r="A18" s="87"/>
      <c r="B18" s="23"/>
      <c r="C18" s="88"/>
      <c r="D18" s="264"/>
      <c r="E18" s="88"/>
      <c r="F18" s="84"/>
      <c r="G18" s="85"/>
      <c r="H18" s="86"/>
    </row>
    <row r="19" spans="1:8" s="14" customFormat="1" ht="12.75" customHeight="1">
      <c r="A19" s="404" t="s">
        <v>7</v>
      </c>
      <c r="B19" s="405" t="s">
        <v>8</v>
      </c>
      <c r="C19" s="406"/>
      <c r="D19" s="407"/>
      <c r="E19" s="406"/>
      <c r="F19" s="408"/>
      <c r="G19" s="409"/>
      <c r="H19" s="86"/>
    </row>
    <row r="20" spans="1:8" s="14" customFormat="1" ht="12.75" customHeight="1">
      <c r="A20" s="410"/>
      <c r="B20" s="246"/>
      <c r="C20" s="406"/>
      <c r="D20" s="407"/>
      <c r="E20" s="406"/>
      <c r="F20" s="408"/>
      <c r="G20" s="409"/>
      <c r="H20" s="86"/>
    </row>
    <row r="21" spans="1:8" s="14" customFormat="1" ht="12.75" customHeight="1">
      <c r="A21" s="618" t="s">
        <v>773</v>
      </c>
      <c r="B21" s="405" t="s">
        <v>9</v>
      </c>
      <c r="C21" s="405" t="s">
        <v>407</v>
      </c>
      <c r="D21" s="405" t="s">
        <v>408</v>
      </c>
      <c r="E21" s="405" t="s">
        <v>410</v>
      </c>
      <c r="F21" s="405" t="s">
        <v>411</v>
      </c>
      <c r="G21" s="405" t="s">
        <v>10</v>
      </c>
      <c r="H21" s="86"/>
    </row>
    <row r="22" spans="1:8" s="14" customFormat="1" ht="12.75" customHeight="1">
      <c r="A22" s="618"/>
      <c r="B22" s="405" t="s">
        <v>11</v>
      </c>
      <c r="C22" s="405" t="s">
        <v>13</v>
      </c>
      <c r="D22" s="405" t="s">
        <v>578</v>
      </c>
      <c r="E22" s="405" t="s">
        <v>14</v>
      </c>
      <c r="F22" s="405" t="s">
        <v>453</v>
      </c>
      <c r="G22" s="412"/>
      <c r="H22" s="86"/>
    </row>
    <row r="23" spans="1:8" s="14" customFormat="1" ht="12.75" customHeight="1">
      <c r="A23" s="246"/>
      <c r="B23" s="413"/>
      <c r="C23" s="413"/>
      <c r="D23" s="413"/>
      <c r="E23" s="413"/>
      <c r="F23" s="413"/>
      <c r="G23" s="413"/>
      <c r="H23" s="86"/>
    </row>
    <row r="24" spans="1:8" s="14" customFormat="1" ht="12.75" customHeight="1">
      <c r="A24" s="411" t="s">
        <v>3</v>
      </c>
      <c r="B24" s="405" t="s">
        <v>409</v>
      </c>
      <c r="C24" s="405" t="s">
        <v>15</v>
      </c>
      <c r="D24" s="405" t="s">
        <v>12</v>
      </c>
      <c r="E24" s="405" t="s">
        <v>16</v>
      </c>
      <c r="F24" s="408"/>
      <c r="G24" s="409"/>
      <c r="H24" s="86"/>
    </row>
    <row r="25" spans="1:8" s="14" customFormat="1" ht="12.75" customHeight="1">
      <c r="A25" s="87"/>
      <c r="B25" s="23"/>
      <c r="C25" s="88"/>
      <c r="D25" s="88"/>
      <c r="E25" s="88"/>
      <c r="F25" s="84"/>
      <c r="G25" s="85"/>
      <c r="H25" s="86"/>
    </row>
    <row r="26" spans="1:8" s="14" customFormat="1" ht="12.75" customHeight="1">
      <c r="A26" s="87"/>
      <c r="B26" s="23"/>
      <c r="C26" s="88"/>
      <c r="D26" s="264"/>
      <c r="E26" s="88"/>
      <c r="F26" s="84"/>
      <c r="G26" s="85"/>
      <c r="H26" s="86"/>
    </row>
    <row r="27" spans="1:8" s="14" customFormat="1" ht="12.75" customHeight="1">
      <c r="A27" s="87"/>
      <c r="B27" s="23"/>
      <c r="C27" s="88"/>
      <c r="D27" s="264"/>
      <c r="E27" s="88"/>
      <c r="F27" s="84"/>
      <c r="G27" s="85"/>
      <c r="H27" s="86"/>
    </row>
    <row r="28" spans="1:8" s="14" customFormat="1" ht="12.75" customHeight="1">
      <c r="A28" s="262" t="s">
        <v>1230</v>
      </c>
      <c r="B28" s="263"/>
      <c r="C28" s="264"/>
      <c r="D28" s="80"/>
      <c r="E28" s="81"/>
      <c r="F28" s="84"/>
      <c r="G28" s="85"/>
      <c r="H28" s="86"/>
    </row>
    <row r="29" spans="1:8" s="14" customFormat="1" ht="12.75" customHeight="1">
      <c r="A29" s="89"/>
      <c r="B29" s="90"/>
      <c r="C29" s="90"/>
      <c r="D29" s="265"/>
      <c r="E29" s="265"/>
      <c r="F29" s="81"/>
      <c r="G29"/>
      <c r="H29" s="86"/>
    </row>
    <row r="30" spans="1:8" s="14" customFormat="1" ht="12.75" customHeight="1">
      <c r="A30" s="616" t="s">
        <v>1231</v>
      </c>
      <c r="B30" s="616"/>
      <c r="C30" s="616"/>
      <c r="D30" s="616"/>
      <c r="E30" s="23"/>
      <c r="F30" s="81"/>
      <c r="G30"/>
      <c r="H30" s="86"/>
    </row>
    <row r="31" spans="1:8" s="14" customFormat="1" ht="12.75" customHeight="1">
      <c r="A31" s="87"/>
      <c r="B31" s="23"/>
      <c r="C31" s="88"/>
      <c r="D31" s="264"/>
      <c r="E31" s="88"/>
      <c r="F31" s="84"/>
      <c r="G31" s="85"/>
      <c r="H31" s="86"/>
    </row>
    <row r="32" spans="1:8" s="14" customFormat="1" ht="12.75" customHeight="1">
      <c r="A32" s="87"/>
      <c r="B32" s="23"/>
      <c r="C32" s="88"/>
      <c r="D32" s="264"/>
      <c r="E32" s="88"/>
      <c r="F32" s="84"/>
      <c r="G32" s="85"/>
      <c r="H32" s="86"/>
    </row>
    <row r="33" spans="1:8" s="14" customFormat="1" ht="12.75" customHeight="1">
      <c r="A33" s="616" t="s">
        <v>22</v>
      </c>
      <c r="B33" s="616"/>
      <c r="C33" s="616"/>
      <c r="D33" s="616"/>
      <c r="E33" s="616"/>
      <c r="F33"/>
      <c r="G33"/>
      <c r="H33" s="86"/>
    </row>
    <row r="34" spans="1:8" s="14" customFormat="1" ht="9.75" customHeight="1">
      <c r="A34" s="83"/>
      <c r="B34" s="80"/>
      <c r="C34" s="80"/>
      <c r="D34" s="275"/>
      <c r="E34" s="81"/>
      <c r="F34" s="84"/>
      <c r="G34" s="86"/>
      <c r="H34" s="86"/>
    </row>
    <row r="35" spans="1:8" s="14" customFormat="1" ht="9.75" customHeight="1">
      <c r="A35" s="83"/>
      <c r="B35" s="80"/>
      <c r="C35" s="80"/>
      <c r="D35" s="275"/>
      <c r="E35" s="81"/>
      <c r="F35" s="84"/>
      <c r="G35" s="86"/>
      <c r="H35" s="86"/>
    </row>
    <row r="36" spans="1:8" s="14" customFormat="1" ht="10.5" customHeight="1">
      <c r="A36" s="23"/>
      <c r="B36" s="25"/>
      <c r="C36" s="25"/>
      <c r="D36" s="23"/>
      <c r="E36" s="23"/>
      <c r="F36"/>
      <c r="G36" s="86"/>
      <c r="H36" s="86"/>
    </row>
    <row r="37" spans="1:6" ht="18.75" customHeight="1">
      <c r="A37" s="23"/>
      <c r="B37" s="283"/>
      <c r="C37" s="284"/>
      <c r="D37" s="23"/>
      <c r="E37" s="23"/>
      <c r="F37"/>
    </row>
    <row r="38" spans="1:6" ht="12.75">
      <c r="A38"/>
      <c r="B38"/>
      <c r="C38"/>
      <c r="D38"/>
      <c r="E38"/>
      <c r="F38"/>
    </row>
    <row r="39" spans="2:6" ht="40.5" customHeight="1">
      <c r="B39"/>
      <c r="C39"/>
      <c r="D39"/>
      <c r="E39"/>
      <c r="F39"/>
    </row>
    <row r="40" spans="2:6" ht="10.5" customHeight="1">
      <c r="B40"/>
      <c r="C40"/>
      <c r="D40"/>
      <c r="E40"/>
      <c r="F40"/>
    </row>
    <row r="41" spans="2:6" ht="12.75" customHeight="1">
      <c r="B41"/>
      <c r="C41"/>
      <c r="D41"/>
      <c r="E41"/>
      <c r="F41"/>
    </row>
  </sheetData>
  <sheetProtection/>
  <mergeCells count="17">
    <mergeCell ref="A13:B13"/>
    <mergeCell ref="A33:E33"/>
    <mergeCell ref="A14:B14"/>
    <mergeCell ref="A21:A22"/>
    <mergeCell ref="A30:D30"/>
    <mergeCell ref="C6:E6"/>
    <mergeCell ref="A10:B10"/>
    <mergeCell ref="C10:E10"/>
    <mergeCell ref="F10:F11"/>
    <mergeCell ref="A11:B11"/>
    <mergeCell ref="A12:B12"/>
    <mergeCell ref="A1:E1"/>
    <mergeCell ref="A2:D2"/>
    <mergeCell ref="E2:E4"/>
    <mergeCell ref="A3:D3"/>
    <mergeCell ref="A4:D4"/>
    <mergeCell ref="A5:E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J31"/>
  <sheetViews>
    <sheetView view="pageBreakPreview" zoomScaleSheetLayoutView="100" zoomScalePageLayoutView="0" workbookViewId="0" topLeftCell="A6">
      <selection activeCell="E19" sqref="E19:G19"/>
    </sheetView>
  </sheetViews>
  <sheetFormatPr defaultColWidth="9.00390625" defaultRowHeight="12.75"/>
  <cols>
    <col min="1" max="1" width="21.50390625" style="36" customWidth="1"/>
    <col min="2" max="2" width="16.375" style="36" customWidth="1"/>
    <col min="3" max="3" width="8.50390625" style="36" customWidth="1"/>
    <col min="4" max="4" width="7.50390625" style="36" customWidth="1"/>
    <col min="5" max="5" width="12.50390625" style="36" customWidth="1"/>
    <col min="6" max="6" width="8.125" style="36" customWidth="1"/>
    <col min="7" max="8" width="8.50390625" style="36" customWidth="1"/>
    <col min="9" max="9" width="12.50390625" style="36" customWidth="1"/>
    <col min="10" max="10" width="12.375" style="36" customWidth="1"/>
    <col min="11" max="13" width="9.125" style="36" customWidth="1"/>
    <col min="16" max="17" width="12.50390625" style="0" customWidth="1"/>
    <col min="18" max="18" width="12.875" style="0" customWidth="1"/>
  </cols>
  <sheetData>
    <row r="1" spans="1:9" ht="81" customHeight="1">
      <c r="A1" s="633"/>
      <c r="B1" s="633"/>
      <c r="C1" s="633"/>
      <c r="D1" s="633"/>
      <c r="E1" s="633"/>
      <c r="F1" s="633"/>
      <c r="G1" s="633"/>
      <c r="H1" s="633"/>
      <c r="I1" s="633"/>
    </row>
    <row r="2" spans="1:9" ht="18" customHeight="1">
      <c r="A2" s="634"/>
      <c r="B2" s="634"/>
      <c r="C2" s="634"/>
      <c r="D2" s="139" t="s">
        <v>304</v>
      </c>
      <c r="E2" s="139"/>
      <c r="F2" s="139"/>
      <c r="G2" s="91"/>
      <c r="H2" s="91"/>
      <c r="I2" s="91"/>
    </row>
    <row r="3" spans="1:9" ht="31.5" customHeight="1">
      <c r="A3" s="635" t="s">
        <v>126</v>
      </c>
      <c r="B3" s="635"/>
      <c r="C3" s="635"/>
      <c r="D3" s="635"/>
      <c r="E3" s="635"/>
      <c r="F3" s="635"/>
      <c r="G3" s="635"/>
      <c r="H3" s="633"/>
      <c r="I3" s="633"/>
    </row>
    <row r="4" spans="1:9" ht="18" customHeight="1">
      <c r="A4" s="636" t="s">
        <v>370</v>
      </c>
      <c r="B4" s="636"/>
      <c r="C4" s="636"/>
      <c r="D4" s="636"/>
      <c r="E4" s="636"/>
      <c r="F4" s="636"/>
      <c r="G4" s="636"/>
      <c r="H4" s="633"/>
      <c r="I4" s="633"/>
    </row>
    <row r="5" spans="1:9" ht="13.5" customHeight="1">
      <c r="A5" s="637" t="s">
        <v>346</v>
      </c>
      <c r="B5" s="637"/>
      <c r="C5" s="637"/>
      <c r="D5" s="637"/>
      <c r="E5" s="637"/>
      <c r="F5" s="637"/>
      <c r="G5" s="637"/>
      <c r="H5" s="633"/>
      <c r="I5" s="633"/>
    </row>
    <row r="6" spans="1:9" ht="12.75" customHeight="1">
      <c r="A6" s="638" t="s">
        <v>127</v>
      </c>
      <c r="B6" s="638"/>
      <c r="C6" s="638"/>
      <c r="D6" s="638"/>
      <c r="E6" s="638"/>
      <c r="F6" s="638"/>
      <c r="G6" s="638"/>
      <c r="H6" s="633"/>
      <c r="I6" s="633"/>
    </row>
    <row r="7" spans="1:9" ht="12.75">
      <c r="A7" s="628"/>
      <c r="B7" s="628"/>
      <c r="C7" s="628"/>
      <c r="D7" s="628"/>
      <c r="E7" s="628"/>
      <c r="F7" s="628"/>
      <c r="G7" s="628"/>
      <c r="H7" s="628"/>
      <c r="I7" s="628"/>
    </row>
    <row r="8" spans="1:9" ht="19.5" customHeight="1">
      <c r="A8" s="629" t="s">
        <v>373</v>
      </c>
      <c r="B8" s="629"/>
      <c r="C8" s="629"/>
      <c r="D8" s="629"/>
      <c r="E8" s="629"/>
      <c r="F8" s="629"/>
      <c r="G8" s="629"/>
      <c r="H8" s="629"/>
      <c r="I8" s="629"/>
    </row>
    <row r="9" spans="1:9" ht="15" customHeight="1">
      <c r="A9" s="630" t="s">
        <v>372</v>
      </c>
      <c r="B9" s="630"/>
      <c r="C9" s="630"/>
      <c r="D9" s="630"/>
      <c r="E9" s="630"/>
      <c r="F9" s="630"/>
      <c r="G9" s="630"/>
      <c r="H9" s="630"/>
      <c r="I9" s="630"/>
    </row>
    <row r="10" spans="1:9" ht="19.5" customHeight="1">
      <c r="A10" s="631"/>
      <c r="B10" s="632"/>
      <c r="C10" s="632"/>
      <c r="D10" s="632"/>
      <c r="E10" s="632"/>
      <c r="F10" s="632"/>
      <c r="G10" s="632"/>
      <c r="H10" s="632"/>
      <c r="I10" s="632"/>
    </row>
    <row r="11" spans="1:10" ht="20.25" customHeight="1">
      <c r="A11" s="625" t="s">
        <v>319</v>
      </c>
      <c r="B11" s="626" t="s">
        <v>384</v>
      </c>
      <c r="C11" s="626"/>
      <c r="D11" s="626"/>
      <c r="E11" s="626"/>
      <c r="F11" s="626"/>
      <c r="G11" s="626"/>
      <c r="H11" s="175"/>
      <c r="I11" s="175"/>
      <c r="J11" s="13"/>
    </row>
    <row r="12" spans="1:9" ht="12.75">
      <c r="A12" s="625"/>
      <c r="B12" s="627">
        <v>0.6</v>
      </c>
      <c r="C12" s="627"/>
      <c r="D12" s="627"/>
      <c r="E12" s="627">
        <v>0.8</v>
      </c>
      <c r="F12" s="627"/>
      <c r="G12" s="627"/>
      <c r="H12" s="176"/>
      <c r="I12" s="176"/>
    </row>
    <row r="13" spans="1:9" ht="18" customHeight="1">
      <c r="A13" s="285" t="s">
        <v>609</v>
      </c>
      <c r="B13" s="639" t="s">
        <v>722</v>
      </c>
      <c r="C13" s="639"/>
      <c r="D13" s="639"/>
      <c r="E13" s="639">
        <f>9.07*Головна!$B$131</f>
        <v>307.473</v>
      </c>
      <c r="F13" s="639"/>
      <c r="G13" s="639"/>
      <c r="H13" s="174"/>
      <c r="I13" s="174"/>
    </row>
    <row r="14" spans="1:9" ht="18" customHeight="1">
      <c r="A14" s="285" t="s">
        <v>610</v>
      </c>
      <c r="B14" s="639" t="s">
        <v>722</v>
      </c>
      <c r="C14" s="639"/>
      <c r="D14" s="639"/>
      <c r="E14" s="639">
        <f>9.18*Головна!$B$131</f>
        <v>311.202</v>
      </c>
      <c r="F14" s="639"/>
      <c r="G14" s="639"/>
      <c r="H14" s="174"/>
      <c r="I14" s="174"/>
    </row>
    <row r="15" spans="1:9" ht="18" customHeight="1">
      <c r="A15" s="285" t="s">
        <v>612</v>
      </c>
      <c r="B15" s="639" t="s">
        <v>722</v>
      </c>
      <c r="C15" s="639"/>
      <c r="D15" s="639"/>
      <c r="E15" s="639">
        <f>9.46*Головна!$B$131</f>
        <v>320.694</v>
      </c>
      <c r="F15" s="639"/>
      <c r="G15" s="639"/>
      <c r="H15" s="174"/>
      <c r="I15" s="174"/>
    </row>
    <row r="16" spans="1:9" ht="18" customHeight="1">
      <c r="A16" s="285" t="s">
        <v>613</v>
      </c>
      <c r="B16" s="639" t="s">
        <v>722</v>
      </c>
      <c r="C16" s="639"/>
      <c r="D16" s="639"/>
      <c r="E16" s="639">
        <f>9.57*Головна!$B$131</f>
        <v>324.423</v>
      </c>
      <c r="F16" s="639"/>
      <c r="G16" s="639"/>
      <c r="H16" s="174"/>
      <c r="I16" s="174"/>
    </row>
    <row r="17" spans="1:9" ht="18" customHeight="1">
      <c r="A17" s="285" t="s">
        <v>614</v>
      </c>
      <c r="B17" s="639">
        <f>11.75*Головна!$B$131</f>
        <v>398.325</v>
      </c>
      <c r="C17" s="639"/>
      <c r="D17" s="639"/>
      <c r="E17" s="639">
        <f>13.64*Головна!$B$131</f>
        <v>462.396</v>
      </c>
      <c r="F17" s="639"/>
      <c r="G17" s="639"/>
      <c r="H17" s="174"/>
      <c r="I17" s="174"/>
    </row>
    <row r="18" spans="1:9" ht="18" customHeight="1">
      <c r="A18" s="285" t="s">
        <v>23</v>
      </c>
      <c r="B18" s="639">
        <f>10.5*Головна!B131</f>
        <v>355.95</v>
      </c>
      <c r="C18" s="639"/>
      <c r="D18" s="639"/>
      <c r="E18" s="639">
        <f>12.4*Головна!$B$131</f>
        <v>420.36</v>
      </c>
      <c r="F18" s="639"/>
      <c r="G18" s="639"/>
      <c r="H18" s="174"/>
      <c r="I18" s="174"/>
    </row>
    <row r="19" spans="1:9" ht="26.25">
      <c r="A19" s="286" t="s">
        <v>565</v>
      </c>
      <c r="B19" s="627" t="s">
        <v>24</v>
      </c>
      <c r="C19" s="627"/>
      <c r="D19" s="627"/>
      <c r="E19" s="627" t="s">
        <v>24</v>
      </c>
      <c r="F19" s="627"/>
      <c r="G19" s="627"/>
      <c r="H19" s="174"/>
      <c r="I19" s="174"/>
    </row>
    <row r="20" spans="1:9" ht="18" customHeight="1">
      <c r="A20" s="94"/>
      <c r="B20" s="94"/>
      <c r="C20" s="94"/>
      <c r="E20" s="94"/>
      <c r="F20" s="93"/>
      <c r="G20" s="93"/>
      <c r="H20" s="174"/>
      <c r="I20" s="174"/>
    </row>
    <row r="21" spans="1:9" ht="23.25" customHeight="1">
      <c r="A21" s="173" t="s">
        <v>25</v>
      </c>
      <c r="B21" s="287"/>
      <c r="C21" s="275"/>
      <c r="E21" s="80"/>
      <c r="F21" s="13"/>
      <c r="H21" s="92"/>
      <c r="I21" s="92"/>
    </row>
    <row r="22" spans="1:8" ht="16.5" customHeight="1">
      <c r="A22" s="288" t="s">
        <v>566</v>
      </c>
      <c r="B22" s="640" t="s">
        <v>29</v>
      </c>
      <c r="C22" s="640"/>
      <c r="D22" s="640"/>
      <c r="E22" s="93"/>
      <c r="F22" s="13"/>
      <c r="H22" s="32"/>
    </row>
    <row r="23" spans="1:9" ht="16.5" customHeight="1">
      <c r="A23" s="286" t="s">
        <v>567</v>
      </c>
      <c r="B23" s="640" t="s">
        <v>26</v>
      </c>
      <c r="C23" s="640"/>
      <c r="D23" s="640"/>
      <c r="E23" s="93"/>
      <c r="F23" s="13"/>
      <c r="H23" s="32"/>
      <c r="I23" s="13" t="s">
        <v>263</v>
      </c>
    </row>
    <row r="24" spans="1:5" ht="14.25" customHeight="1">
      <c r="A24" s="286" t="s">
        <v>568</v>
      </c>
      <c r="B24" s="640" t="s">
        <v>27</v>
      </c>
      <c r="C24" s="640"/>
      <c r="D24" s="640"/>
      <c r="E24" s="195"/>
    </row>
    <row r="25" ht="14.25" customHeight="1"/>
    <row r="26" spans="1:4" ht="14.25" customHeight="1">
      <c r="A26" s="472" t="s">
        <v>28</v>
      </c>
      <c r="B26" s="472"/>
      <c r="C26" s="472"/>
      <c r="D26" s="472"/>
    </row>
    <row r="27" spans="1:10" ht="18.75" customHeight="1">
      <c r="A27" s="472" t="s">
        <v>30</v>
      </c>
      <c r="B27" s="472"/>
      <c r="C27" s="289">
        <f>0.95*Головна!$B$131</f>
        <v>32.205</v>
      </c>
      <c r="D27" s="290" t="s">
        <v>621</v>
      </c>
      <c r="H27"/>
      <c r="I27"/>
      <c r="J27"/>
    </row>
    <row r="28" spans="1:9" ht="16.5" customHeight="1">
      <c r="A28"/>
      <c r="B28"/>
      <c r="C28"/>
      <c r="D28"/>
      <c r="E28"/>
      <c r="F28"/>
      <c r="G28"/>
      <c r="H28"/>
      <c r="I28"/>
    </row>
    <row r="29" spans="1:9" ht="18" customHeight="1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 customHeight="1">
      <c r="A31"/>
      <c r="B31"/>
      <c r="C31"/>
      <c r="D31"/>
      <c r="E31"/>
      <c r="F31"/>
      <c r="G31"/>
      <c r="H31"/>
      <c r="I31"/>
    </row>
  </sheetData>
  <sheetProtection/>
  <mergeCells count="34">
    <mergeCell ref="A27:B27"/>
    <mergeCell ref="E19:G19"/>
    <mergeCell ref="B22:D22"/>
    <mergeCell ref="B23:D23"/>
    <mergeCell ref="B24:D24"/>
    <mergeCell ref="A26:D26"/>
    <mergeCell ref="B19:D19"/>
    <mergeCell ref="E16:G16"/>
    <mergeCell ref="B17:D17"/>
    <mergeCell ref="E17:G17"/>
    <mergeCell ref="B18:D18"/>
    <mergeCell ref="E18:G18"/>
    <mergeCell ref="B16:D16"/>
    <mergeCell ref="E13:G13"/>
    <mergeCell ref="B14:D14"/>
    <mergeCell ref="E14:G14"/>
    <mergeCell ref="B15:D15"/>
    <mergeCell ref="E15:G15"/>
    <mergeCell ref="B13:D13"/>
    <mergeCell ref="A1:I1"/>
    <mergeCell ref="A2:C2"/>
    <mergeCell ref="A3:G3"/>
    <mergeCell ref="H3:I6"/>
    <mergeCell ref="A4:G4"/>
    <mergeCell ref="A5:G5"/>
    <mergeCell ref="A6:G6"/>
    <mergeCell ref="A11:A12"/>
    <mergeCell ref="B11:G11"/>
    <mergeCell ref="B12:D12"/>
    <mergeCell ref="E12:G12"/>
    <mergeCell ref="A7:I7"/>
    <mergeCell ref="A8:I8"/>
    <mergeCell ref="A9:I9"/>
    <mergeCell ref="A10:I10"/>
  </mergeCells>
  <hyperlinks>
    <hyperlink ref="A6" r:id="rId1" display="http://plastics.ua/dom/products/Пластик HPL"/>
    <hyperlink ref="I23" location="Главная!A1" display="на главную"/>
  </hyperlinks>
  <printOptions/>
  <pageMargins left="0.24" right="0.23" top="0.26" bottom="0.17" header="0.17" footer="0.17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35" sqref="A35:A36"/>
    </sheetView>
  </sheetViews>
  <sheetFormatPr defaultColWidth="9.00390625" defaultRowHeight="12.75"/>
  <cols>
    <col min="1" max="1" width="23.50390625" style="252" customWidth="1"/>
    <col min="2" max="8" width="9.125" style="292" customWidth="1"/>
    <col min="9" max="10" width="9.125" style="0" customWidth="1"/>
  </cols>
  <sheetData>
    <row r="2" spans="1:8" ht="12.75">
      <c r="A2" s="158" t="s">
        <v>1065</v>
      </c>
      <c r="B2" s="181" t="s">
        <v>404</v>
      </c>
      <c r="C2" s="181" t="s">
        <v>405</v>
      </c>
      <c r="D2" s="4"/>
      <c r="E2" s="4"/>
      <c r="F2" s="4"/>
      <c r="G2" s="4"/>
      <c r="H2" s="4"/>
    </row>
    <row r="3" spans="1:8" ht="12.75">
      <c r="A3" s="291"/>
      <c r="B3" s="4"/>
      <c r="C3" s="4"/>
      <c r="D3" s="4"/>
      <c r="E3" s="4"/>
      <c r="F3" s="4"/>
      <c r="G3" s="4"/>
      <c r="H3" s="4"/>
    </row>
    <row r="4" spans="1:8" ht="12.75">
      <c r="A4" s="641" t="s">
        <v>1066</v>
      </c>
      <c r="B4" s="181" t="s">
        <v>406</v>
      </c>
      <c r="C4" s="181" t="s">
        <v>407</v>
      </c>
      <c r="D4" s="181" t="s">
        <v>408</v>
      </c>
      <c r="E4" s="181" t="s">
        <v>409</v>
      </c>
      <c r="F4" s="181" t="s">
        <v>410</v>
      </c>
      <c r="G4" s="181" t="s">
        <v>411</v>
      </c>
      <c r="H4" s="181" t="s">
        <v>537</v>
      </c>
    </row>
    <row r="5" spans="1:8" ht="12.75">
      <c r="A5" s="641"/>
      <c r="B5" s="181" t="s">
        <v>456</v>
      </c>
      <c r="C5" s="181" t="s">
        <v>412</v>
      </c>
      <c r="D5" s="181" t="s">
        <v>413</v>
      </c>
      <c r="E5" s="181" t="s">
        <v>414</v>
      </c>
      <c r="F5" s="181" t="s">
        <v>415</v>
      </c>
      <c r="G5" s="181" t="s">
        <v>416</v>
      </c>
      <c r="H5" s="181" t="s">
        <v>417</v>
      </c>
    </row>
    <row r="6" spans="1:8" ht="12.75">
      <c r="A6" s="641"/>
      <c r="B6" s="181" t="s">
        <v>418</v>
      </c>
      <c r="C6" s="181" t="s">
        <v>419</v>
      </c>
      <c r="D6" s="181" t="s">
        <v>420</v>
      </c>
      <c r="E6" s="181" t="s">
        <v>421</v>
      </c>
      <c r="F6" s="181" t="s">
        <v>422</v>
      </c>
      <c r="G6" s="181" t="s">
        <v>423</v>
      </c>
      <c r="H6" s="181" t="s">
        <v>424</v>
      </c>
    </row>
    <row r="7" spans="1:8" ht="12.75">
      <c r="A7" s="641"/>
      <c r="B7" s="181" t="s">
        <v>425</v>
      </c>
      <c r="C7" s="181" t="s">
        <v>578</v>
      </c>
      <c r="D7" s="181" t="s">
        <v>426</v>
      </c>
      <c r="E7" s="181" t="s">
        <v>427</v>
      </c>
      <c r="F7" s="181" t="s">
        <v>428</v>
      </c>
      <c r="G7" s="181" t="s">
        <v>429</v>
      </c>
      <c r="H7" s="181" t="s">
        <v>430</v>
      </c>
    </row>
    <row r="8" spans="1:8" ht="12.75">
      <c r="A8" s="641"/>
      <c r="B8" s="181" t="s">
        <v>431</v>
      </c>
      <c r="C8" s="181" t="s">
        <v>432</v>
      </c>
      <c r="D8" s="181" t="s">
        <v>433</v>
      </c>
      <c r="E8" s="181" t="s">
        <v>434</v>
      </c>
      <c r="F8" s="181" t="s">
        <v>435</v>
      </c>
      <c r="G8" s="181" t="s">
        <v>457</v>
      </c>
      <c r="H8" s="181" t="s">
        <v>437</v>
      </c>
    </row>
    <row r="9" spans="1:8" ht="12.75">
      <c r="A9" s="641"/>
      <c r="B9" s="181" t="s">
        <v>438</v>
      </c>
      <c r="C9" s="181" t="s">
        <v>439</v>
      </c>
      <c r="D9" s="181" t="s">
        <v>440</v>
      </c>
      <c r="E9" s="181" t="s">
        <v>579</v>
      </c>
      <c r="F9" s="181" t="s">
        <v>442</v>
      </c>
      <c r="G9" s="181" t="s">
        <v>443</v>
      </c>
      <c r="H9" s="181" t="s">
        <v>444</v>
      </c>
    </row>
    <row r="10" spans="1:8" ht="12.75">
      <c r="A10" s="641"/>
      <c r="B10" s="181" t="s">
        <v>445</v>
      </c>
      <c r="C10" s="181" t="s">
        <v>446</v>
      </c>
      <c r="D10" s="181" t="s">
        <v>447</v>
      </c>
      <c r="E10" s="181" t="s">
        <v>448</v>
      </c>
      <c r="F10" s="181" t="s">
        <v>449</v>
      </c>
      <c r="G10" s="181" t="s">
        <v>450</v>
      </c>
      <c r="H10" s="181" t="s">
        <v>451</v>
      </c>
    </row>
    <row r="11" spans="1:8" ht="12.75">
      <c r="A11" s="641"/>
      <c r="B11" s="181" t="s">
        <v>452</v>
      </c>
      <c r="C11" s="181" t="s">
        <v>453</v>
      </c>
      <c r="D11" s="181" t="s">
        <v>454</v>
      </c>
      <c r="E11" s="181" t="s">
        <v>455</v>
      </c>
      <c r="F11" s="181" t="s">
        <v>458</v>
      </c>
      <c r="G11" s="181" t="s">
        <v>459</v>
      </c>
      <c r="H11" s="181" t="s">
        <v>460</v>
      </c>
    </row>
    <row r="12" spans="1:8" ht="12.75">
      <c r="A12" s="641"/>
      <c r="B12" s="181" t="s">
        <v>461</v>
      </c>
      <c r="C12" s="181" t="s">
        <v>462</v>
      </c>
      <c r="F12" s="4"/>
      <c r="G12" s="4"/>
      <c r="H12" s="178"/>
    </row>
    <row r="13" spans="1:10" ht="12.75">
      <c r="A13" s="293"/>
      <c r="B13" s="4"/>
      <c r="C13" s="4"/>
      <c r="D13" s="4"/>
      <c r="E13" s="4"/>
      <c r="F13" s="4"/>
      <c r="G13" s="4"/>
      <c r="H13" s="4"/>
      <c r="I13" s="4"/>
      <c r="J13" s="4"/>
    </row>
    <row r="14" spans="1:8" ht="12.75">
      <c r="A14" s="641" t="s">
        <v>1067</v>
      </c>
      <c r="B14" s="181" t="s">
        <v>494</v>
      </c>
      <c r="C14" s="181" t="s">
        <v>495</v>
      </c>
      <c r="D14" s="181" t="s">
        <v>496</v>
      </c>
      <c r="E14" s="181" t="s">
        <v>497</v>
      </c>
      <c r="F14" s="181" t="s">
        <v>498</v>
      </c>
      <c r="G14" s="181" t="s">
        <v>499</v>
      </c>
      <c r="H14" s="181" t="s">
        <v>500</v>
      </c>
    </row>
    <row r="15" spans="1:8" ht="12.75">
      <c r="A15" s="641"/>
      <c r="B15" s="181" t="s">
        <v>501</v>
      </c>
      <c r="C15" s="181" t="s">
        <v>502</v>
      </c>
      <c r="D15" s="181" t="s">
        <v>503</v>
      </c>
      <c r="E15" s="181" t="s">
        <v>504</v>
      </c>
      <c r="F15" s="181" t="s">
        <v>512</v>
      </c>
      <c r="G15" s="181" t="s">
        <v>513</v>
      </c>
      <c r="H15" s="181" t="s">
        <v>514</v>
      </c>
    </row>
    <row r="16" spans="1:5" ht="12.75">
      <c r="A16" s="641"/>
      <c r="B16" s="181" t="s">
        <v>509</v>
      </c>
      <c r="C16" s="181" t="s">
        <v>516</v>
      </c>
      <c r="D16" s="181" t="s">
        <v>517</v>
      </c>
      <c r="E16" s="181" t="s">
        <v>518</v>
      </c>
    </row>
    <row r="17" ht="12.75">
      <c r="A17" s="294"/>
    </row>
    <row r="18" spans="1:8" ht="12.75">
      <c r="A18" s="642" t="s">
        <v>1068</v>
      </c>
      <c r="B18" s="181" t="s">
        <v>519</v>
      </c>
      <c r="C18" s="181" t="s">
        <v>520</v>
      </c>
      <c r="D18" s="181" t="s">
        <v>521</v>
      </c>
      <c r="E18" s="181" t="s">
        <v>522</v>
      </c>
      <c r="F18" s="181" t="s">
        <v>523</v>
      </c>
      <c r="G18" s="181" t="s">
        <v>524</v>
      </c>
      <c r="H18" s="181" t="s">
        <v>525</v>
      </c>
    </row>
    <row r="19" spans="1:8" ht="12.75">
      <c r="A19" s="642"/>
      <c r="B19" s="181" t="s">
        <v>581</v>
      </c>
      <c r="C19" s="181" t="s">
        <v>582</v>
      </c>
      <c r="D19" s="181" t="s">
        <v>583</v>
      </c>
      <c r="E19" s="181" t="s">
        <v>540</v>
      </c>
      <c r="F19" s="181" t="s">
        <v>584</v>
      </c>
      <c r="G19" s="181" t="s">
        <v>585</v>
      </c>
      <c r="H19" s="181" t="s">
        <v>586</v>
      </c>
    </row>
    <row r="20" spans="1:8" ht="12.75">
      <c r="A20" s="642"/>
      <c r="B20" s="181" t="s">
        <v>587</v>
      </c>
      <c r="C20" s="181" t="s">
        <v>526</v>
      </c>
      <c r="D20" s="181" t="s">
        <v>527</v>
      </c>
      <c r="E20" s="181" t="s">
        <v>528</v>
      </c>
      <c r="F20" s="181" t="s">
        <v>529</v>
      </c>
      <c r="G20" s="181" t="s">
        <v>530</v>
      </c>
      <c r="H20" s="181" t="s">
        <v>531</v>
      </c>
    </row>
    <row r="21" spans="1:8" ht="12.75">
      <c r="A21" s="642"/>
      <c r="B21" s="181" t="s">
        <v>532</v>
      </c>
      <c r="C21" s="181" t="s">
        <v>505</v>
      </c>
      <c r="D21" s="181" t="s">
        <v>580</v>
      </c>
      <c r="E21" s="181" t="s">
        <v>507</v>
      </c>
      <c r="F21" s="181" t="s">
        <v>508</v>
      </c>
      <c r="G21" s="181" t="s">
        <v>510</v>
      </c>
      <c r="H21" s="181" t="s">
        <v>511</v>
      </c>
    </row>
    <row r="22" spans="1:8" ht="12.75">
      <c r="A22" s="642"/>
      <c r="B22" s="181" t="s">
        <v>515</v>
      </c>
      <c r="C22" s="181" t="s">
        <v>538</v>
      </c>
      <c r="D22" s="181" t="s">
        <v>539</v>
      </c>
      <c r="E22" s="181" t="s">
        <v>541</v>
      </c>
      <c r="F22" s="181" t="s">
        <v>474</v>
      </c>
      <c r="G22" s="181" t="s">
        <v>475</v>
      </c>
      <c r="H22" s="181" t="s">
        <v>479</v>
      </c>
    </row>
    <row r="23" spans="1:8" ht="12.75">
      <c r="A23" s="642"/>
      <c r="B23" s="181" t="s">
        <v>480</v>
      </c>
      <c r="C23" s="181" t="s">
        <v>481</v>
      </c>
      <c r="D23" s="181" t="s">
        <v>488</v>
      </c>
      <c r="E23" s="181" t="s">
        <v>489</v>
      </c>
      <c r="F23" s="181" t="s">
        <v>468</v>
      </c>
      <c r="G23" s="181" t="s">
        <v>469</v>
      </c>
      <c r="H23" s="181" t="s">
        <v>470</v>
      </c>
    </row>
    <row r="24" spans="1:8" ht="12.75">
      <c r="A24" s="642"/>
      <c r="B24" s="181" t="s">
        <v>471</v>
      </c>
      <c r="C24" s="181" t="s">
        <v>472</v>
      </c>
      <c r="D24" s="181" t="s">
        <v>473</v>
      </c>
      <c r="E24" s="181" t="s">
        <v>477</v>
      </c>
      <c r="F24" s="181" t="s">
        <v>478</v>
      </c>
      <c r="G24" s="181" t="s">
        <v>482</v>
      </c>
      <c r="H24" s="181" t="s">
        <v>483</v>
      </c>
    </row>
    <row r="25" spans="1:8" ht="12.75">
      <c r="A25" s="642"/>
      <c r="B25" s="181" t="s">
        <v>484</v>
      </c>
      <c r="C25" s="181" t="s">
        <v>485</v>
      </c>
      <c r="D25" s="181" t="s">
        <v>486</v>
      </c>
      <c r="E25" s="181" t="s">
        <v>487</v>
      </c>
      <c r="F25" s="181" t="s">
        <v>490</v>
      </c>
      <c r="G25" s="181" t="s">
        <v>491</v>
      </c>
      <c r="H25" s="181" t="s">
        <v>492</v>
      </c>
    </row>
    <row r="26" spans="1:8" ht="12.75">
      <c r="A26" s="642"/>
      <c r="B26" s="181" t="s">
        <v>464</v>
      </c>
      <c r="C26" s="181" t="s">
        <v>465</v>
      </c>
      <c r="D26" s="181" t="s">
        <v>466</v>
      </c>
      <c r="E26" s="181" t="s">
        <v>467</v>
      </c>
      <c r="F26" s="181" t="s">
        <v>535</v>
      </c>
      <c r="G26" s="181" t="s">
        <v>533</v>
      </c>
      <c r="H26" s="181" t="s">
        <v>534</v>
      </c>
    </row>
    <row r="27" spans="1:8" ht="12.75">
      <c r="A27" s="642"/>
      <c r="B27" s="181" t="s">
        <v>560</v>
      </c>
      <c r="C27" s="181" t="s">
        <v>31</v>
      </c>
      <c r="D27" s="181" t="s">
        <v>32</v>
      </c>
      <c r="E27" s="181" t="s">
        <v>551</v>
      </c>
      <c r="F27" s="181" t="s">
        <v>552</v>
      </c>
      <c r="G27" s="181" t="s">
        <v>553</v>
      </c>
      <c r="H27" s="181" t="s">
        <v>554</v>
      </c>
    </row>
    <row r="28" spans="1:8" ht="12.75">
      <c r="A28" s="642"/>
      <c r="B28" s="181" t="s">
        <v>557</v>
      </c>
      <c r="C28" s="181" t="s">
        <v>558</v>
      </c>
      <c r="D28" s="181" t="s">
        <v>33</v>
      </c>
      <c r="E28" s="181" t="s">
        <v>436</v>
      </c>
      <c r="F28" s="181" t="s">
        <v>536</v>
      </c>
      <c r="G28" s="181" t="s">
        <v>592</v>
      </c>
      <c r="H28" s="181" t="s">
        <v>555</v>
      </c>
    </row>
    <row r="29" spans="1:8" ht="12.75">
      <c r="A29" s="642"/>
      <c r="B29" s="181" t="s">
        <v>556</v>
      </c>
      <c r="C29" s="181" t="s">
        <v>559</v>
      </c>
      <c r="D29" s="181" t="s">
        <v>562</v>
      </c>
      <c r="E29" s="181" t="s">
        <v>589</v>
      </c>
      <c r="F29" s="181" t="s">
        <v>617</v>
      </c>
      <c r="G29" s="181" t="s">
        <v>543</v>
      </c>
      <c r="H29" s="181" t="s">
        <v>544</v>
      </c>
    </row>
    <row r="30" spans="1:8" ht="12.75">
      <c r="A30" s="642"/>
      <c r="B30" s="181" t="s">
        <v>546</v>
      </c>
      <c r="C30" s="181" t="s">
        <v>547</v>
      </c>
      <c r="D30" s="181" t="s">
        <v>548</v>
      </c>
      <c r="E30" s="181" t="s">
        <v>549</v>
      </c>
      <c r="F30" s="181" t="s">
        <v>550</v>
      </c>
      <c r="G30" s="181" t="s">
        <v>561</v>
      </c>
      <c r="H30" s="181" t="s">
        <v>588</v>
      </c>
    </row>
    <row r="31" spans="1:8" ht="12.75">
      <c r="A31" s="642"/>
      <c r="B31" s="295" t="s">
        <v>34</v>
      </c>
      <c r="C31" s="295" t="s">
        <v>590</v>
      </c>
      <c r="D31" s="295" t="s">
        <v>591</v>
      </c>
      <c r="E31" s="4"/>
      <c r="F31" s="4"/>
      <c r="G31" s="4"/>
      <c r="H31" s="4"/>
    </row>
    <row r="32" spans="1:8" ht="12.75">
      <c r="A32" s="291"/>
      <c r="C32" s="179"/>
      <c r="D32" s="179"/>
      <c r="E32" s="179"/>
      <c r="F32" s="179"/>
      <c r="G32" s="4"/>
      <c r="H32" s="4"/>
    </row>
    <row r="33" spans="1:8" ht="12.75">
      <c r="A33" s="296" t="s">
        <v>1069</v>
      </c>
      <c r="B33" s="181" t="s">
        <v>542</v>
      </c>
      <c r="C33" s="181" t="s">
        <v>545</v>
      </c>
      <c r="D33" s="181" t="s">
        <v>593</v>
      </c>
      <c r="E33" s="181" t="s">
        <v>594</v>
      </c>
      <c r="F33" s="297" t="s">
        <v>595</v>
      </c>
      <c r="G33" s="181" t="s">
        <v>596</v>
      </c>
      <c r="H33" s="4"/>
    </row>
    <row r="34" spans="1:8" ht="12.75">
      <c r="A34" s="296"/>
      <c r="B34" s="177"/>
      <c r="C34" s="177"/>
      <c r="D34" s="177"/>
      <c r="E34" s="177"/>
      <c r="F34" s="177"/>
      <c r="G34" s="179"/>
      <c r="H34" s="4"/>
    </row>
    <row r="35" spans="1:8" ht="12.75">
      <c r="A35" s="641" t="s">
        <v>1070</v>
      </c>
      <c r="B35" s="181" t="s">
        <v>569</v>
      </c>
      <c r="C35" s="181" t="s">
        <v>570</v>
      </c>
      <c r="D35" s="181" t="s">
        <v>571</v>
      </c>
      <c r="E35" s="181" t="s">
        <v>572</v>
      </c>
      <c r="F35" s="181" t="s">
        <v>573</v>
      </c>
      <c r="G35" s="181" t="s">
        <v>574</v>
      </c>
      <c r="H35" s="181" t="s">
        <v>575</v>
      </c>
    </row>
    <row r="36" spans="1:4" ht="12.75">
      <c r="A36" s="641"/>
      <c r="B36" s="298" t="s">
        <v>611</v>
      </c>
      <c r="C36" s="181" t="s">
        <v>576</v>
      </c>
      <c r="D36" s="181" t="s">
        <v>577</v>
      </c>
    </row>
  </sheetData>
  <sheetProtection/>
  <mergeCells count="4">
    <mergeCell ref="A4:A12"/>
    <mergeCell ref="A14:A16"/>
    <mergeCell ref="A18:A31"/>
    <mergeCell ref="A35:A3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7:N99"/>
  <sheetViews>
    <sheetView zoomScalePageLayoutView="0" workbookViewId="0" topLeftCell="A2">
      <selection activeCell="J15" sqref="J15"/>
    </sheetView>
  </sheetViews>
  <sheetFormatPr defaultColWidth="10.375" defaultRowHeight="12.75"/>
  <cols>
    <col min="1" max="1" width="17.50390625" style="118" customWidth="1"/>
    <col min="2" max="2" width="10.875" style="119" customWidth="1"/>
    <col min="3" max="4" width="11.625" style="118" bestFit="1" customWidth="1"/>
    <col min="5" max="5" width="12.50390625" style="118" bestFit="1" customWidth="1"/>
    <col min="6" max="6" width="10.50390625" style="118" bestFit="1" customWidth="1"/>
    <col min="7" max="8" width="11.625" style="118" bestFit="1" customWidth="1"/>
    <col min="9" max="9" width="9.00390625" style="118" bestFit="1" customWidth="1"/>
    <col min="10" max="10" width="10.625" style="118" bestFit="1" customWidth="1"/>
    <col min="11" max="16384" width="10.375" style="118" customWidth="1"/>
  </cols>
  <sheetData>
    <row r="1" ht="12.75"/>
    <row r="2" ht="12.75"/>
    <row r="3" ht="12.75"/>
    <row r="4" ht="12.75"/>
    <row r="6" ht="30.75" customHeight="1"/>
    <row r="7" s="95" customFormat="1" ht="9" customHeight="1">
      <c r="B7" s="96"/>
    </row>
    <row r="8" spans="1:10" s="95" customFormat="1" ht="17.25">
      <c r="A8" s="644" t="s">
        <v>385</v>
      </c>
      <c r="B8" s="644"/>
      <c r="C8" s="644"/>
      <c r="D8" s="644"/>
      <c r="E8" s="644"/>
      <c r="F8" s="644"/>
      <c r="G8" s="644"/>
      <c r="H8" s="644"/>
      <c r="I8" s="644"/>
      <c r="J8" s="644"/>
    </row>
    <row r="9" spans="1:10" s="95" customFormat="1" ht="14.25" customHeight="1">
      <c r="A9" s="98"/>
      <c r="B9" s="97"/>
      <c r="C9" s="97"/>
      <c r="D9" s="97"/>
      <c r="E9" s="97"/>
      <c r="F9" s="97"/>
      <c r="G9" s="97"/>
      <c r="H9" s="97"/>
      <c r="I9" s="97"/>
      <c r="J9" s="97"/>
    </row>
    <row r="10" spans="1:14" s="95" customFormat="1" ht="14.25" customHeight="1">
      <c r="A10" s="99"/>
      <c r="B10" s="100"/>
      <c r="C10" s="100"/>
      <c r="D10" s="100"/>
      <c r="F10" s="139" t="s">
        <v>304</v>
      </c>
      <c r="G10" s="100"/>
      <c r="H10" s="100"/>
      <c r="I10" s="100"/>
      <c r="J10" s="101" t="s">
        <v>263</v>
      </c>
      <c r="L10" s="102"/>
      <c r="M10" s="102"/>
      <c r="N10" s="102"/>
    </row>
    <row r="11" spans="1:14" s="95" customFormat="1" ht="13.5">
      <c r="A11" s="645" t="s">
        <v>376</v>
      </c>
      <c r="B11" s="646"/>
      <c r="C11" s="646"/>
      <c r="D11" s="646"/>
      <c r="E11" s="646"/>
      <c r="F11" s="646"/>
      <c r="G11" s="646"/>
      <c r="H11" s="646"/>
      <c r="I11" s="646"/>
      <c r="J11" s="646"/>
      <c r="K11" s="102"/>
      <c r="L11" s="102"/>
      <c r="M11" s="102"/>
      <c r="N11" s="102"/>
    </row>
    <row r="12" spans="1:14" s="95" customFormat="1" ht="21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2"/>
      <c r="L12" s="102"/>
      <c r="M12" s="102"/>
      <c r="N12" s="102"/>
    </row>
    <row r="13" spans="1:14" s="96" customFormat="1" ht="26.25" customHeight="1">
      <c r="A13" s="648" t="s">
        <v>46</v>
      </c>
      <c r="B13" s="648"/>
      <c r="C13" s="650" t="s">
        <v>45</v>
      </c>
      <c r="D13" s="651"/>
      <c r="E13" s="651"/>
      <c r="F13" s="651"/>
      <c r="G13" s="651"/>
      <c r="H13" s="651"/>
      <c r="I13" s="651"/>
      <c r="J13" s="651"/>
      <c r="K13" s="104"/>
      <c r="M13" s="104"/>
      <c r="N13" s="104"/>
    </row>
    <row r="14" spans="1:14" s="95" customFormat="1" ht="29.25" customHeight="1">
      <c r="A14" s="649"/>
      <c r="B14" s="649"/>
      <c r="C14" s="299" t="s">
        <v>47</v>
      </c>
      <c r="D14" s="299" t="s">
        <v>48</v>
      </c>
      <c r="E14" s="299" t="s">
        <v>49</v>
      </c>
      <c r="F14" s="299" t="s">
        <v>50</v>
      </c>
      <c r="G14" s="299" t="s">
        <v>51</v>
      </c>
      <c r="H14" s="299" t="s">
        <v>52</v>
      </c>
      <c r="I14" s="299" t="s">
        <v>53</v>
      </c>
      <c r="J14" s="299" t="s">
        <v>54</v>
      </c>
      <c r="K14" s="106"/>
      <c r="M14" s="105"/>
      <c r="N14" s="106"/>
    </row>
    <row r="15" spans="1:14" s="95" customFormat="1" ht="39.75" customHeight="1">
      <c r="A15" s="647" t="s">
        <v>606</v>
      </c>
      <c r="B15" s="647"/>
      <c r="C15" s="300">
        <f>15.0282*Головна!$B$131</f>
        <v>509.45597999999995</v>
      </c>
      <c r="D15" s="300">
        <f>15.59*Головна!$B$131</f>
        <v>528.501</v>
      </c>
      <c r="E15" s="300">
        <f>17.34*Головна!$B$131</f>
        <v>587.826</v>
      </c>
      <c r="F15" s="300">
        <f>21.26*Головна!$B$131</f>
        <v>720.714</v>
      </c>
      <c r="G15" s="300">
        <f>56.91*Головна!$B$131</f>
        <v>1929.2489999999998</v>
      </c>
      <c r="H15" s="301">
        <f>60.26526*Головна!$B$131</f>
        <v>2042.9923139999999</v>
      </c>
      <c r="I15" s="301">
        <f>25.047*Головна!$B$131</f>
        <v>849.0933</v>
      </c>
      <c r="J15" s="301">
        <f>38.7684*Головна!$B$131</f>
        <v>1314.24876</v>
      </c>
      <c r="K15" s="105"/>
      <c r="M15" s="105"/>
      <c r="N15" s="105"/>
    </row>
    <row r="16" spans="1:14" s="95" customFormat="1" ht="21.75" customHeight="1">
      <c r="A16" s="110"/>
      <c r="B16" s="110"/>
      <c r="C16" s="108"/>
      <c r="D16" s="107"/>
      <c r="E16" s="107"/>
      <c r="F16" s="107"/>
      <c r="G16" s="107"/>
      <c r="H16" s="107"/>
      <c r="I16" s="107"/>
      <c r="J16" s="108"/>
      <c r="K16" s="108"/>
      <c r="L16" s="109"/>
      <c r="M16" s="109"/>
      <c r="N16" s="109"/>
    </row>
    <row r="17" spans="1:14" s="95" customFormat="1" ht="13.5">
      <c r="A17" s="110" t="s">
        <v>607</v>
      </c>
      <c r="B17" s="110" t="s">
        <v>566</v>
      </c>
      <c r="C17" s="108"/>
      <c r="D17" s="107"/>
      <c r="E17" s="107"/>
      <c r="F17" s="107"/>
      <c r="G17" s="107"/>
      <c r="H17" s="107"/>
      <c r="I17" s="107"/>
      <c r="J17" s="108"/>
      <c r="K17" s="108"/>
      <c r="L17" s="109"/>
      <c r="M17" s="109"/>
      <c r="N17" s="109"/>
    </row>
    <row r="18" spans="1:14" s="95" customFormat="1" ht="26.25">
      <c r="A18" s="110" t="s">
        <v>608</v>
      </c>
      <c r="B18" s="182" t="s">
        <v>70</v>
      </c>
      <c r="C18" s="108"/>
      <c r="D18" s="107"/>
      <c r="E18" s="107"/>
      <c r="F18" s="107"/>
      <c r="G18" s="107"/>
      <c r="H18" s="107"/>
      <c r="I18" s="107"/>
      <c r="J18" s="108"/>
      <c r="K18" s="108"/>
      <c r="L18" s="109"/>
      <c r="M18" s="109"/>
      <c r="N18" s="109"/>
    </row>
    <row r="19" spans="2:14" s="95" customFormat="1" ht="15.75" customHeight="1">
      <c r="B19" s="96"/>
      <c r="M19" s="109"/>
      <c r="N19" s="109"/>
    </row>
    <row r="20" spans="1:14" s="95" customFormat="1" ht="21" customHeight="1">
      <c r="A20" s="111" t="s">
        <v>605</v>
      </c>
      <c r="B20" s="112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09"/>
      <c r="N20" s="109"/>
    </row>
    <row r="21" s="76" customFormat="1" ht="17.25" customHeight="1">
      <c r="B21" s="112"/>
    </row>
    <row r="22" spans="1:12" s="76" customFormat="1" ht="26.25" customHeight="1">
      <c r="A22" s="302" t="s">
        <v>609</v>
      </c>
      <c r="B22" s="183" t="s">
        <v>404</v>
      </c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s="76" customFormat="1" ht="22.5" customHeight="1">
      <c r="A23" s="303"/>
      <c r="B23" s="115"/>
      <c r="C23" s="115"/>
      <c r="D23" s="115"/>
      <c r="E23" s="115"/>
      <c r="F23" s="115"/>
      <c r="G23" s="115"/>
      <c r="H23" s="115"/>
      <c r="I23" s="115"/>
      <c r="J23" s="115"/>
      <c r="K23" s="114"/>
      <c r="L23" s="114"/>
    </row>
    <row r="24" spans="1:12" s="76" customFormat="1" ht="24.75" customHeight="1">
      <c r="A24" s="304" t="s">
        <v>610</v>
      </c>
      <c r="B24" s="185" t="s">
        <v>405</v>
      </c>
      <c r="C24" s="115"/>
      <c r="D24" s="115"/>
      <c r="E24" s="115"/>
      <c r="F24" s="115"/>
      <c r="G24" s="115"/>
      <c r="H24" s="115"/>
      <c r="I24" s="115"/>
      <c r="J24" s="115"/>
      <c r="K24" s="114"/>
      <c r="L24" s="114"/>
    </row>
    <row r="25" spans="1:12" s="76" customFormat="1" ht="26.25" customHeight="1">
      <c r="A25" s="303"/>
      <c r="B25" s="115"/>
      <c r="C25" s="115"/>
      <c r="D25" s="115"/>
      <c r="E25" s="115"/>
      <c r="F25" s="115"/>
      <c r="G25" s="115"/>
      <c r="H25" s="115"/>
      <c r="I25" s="115"/>
      <c r="J25" s="115"/>
      <c r="K25" s="114"/>
      <c r="L25" s="114"/>
    </row>
    <row r="26" spans="1:12" s="76" customFormat="1" ht="25.5" customHeight="1">
      <c r="A26" s="652" t="s">
        <v>612</v>
      </c>
      <c r="B26" s="183" t="s">
        <v>406</v>
      </c>
      <c r="C26" s="183" t="s">
        <v>412</v>
      </c>
      <c r="D26" s="183" t="s">
        <v>413</v>
      </c>
      <c r="E26" s="183" t="s">
        <v>416</v>
      </c>
      <c r="F26" s="183" t="s">
        <v>422</v>
      </c>
      <c r="G26" s="183" t="s">
        <v>424</v>
      </c>
      <c r="H26" s="183" t="s">
        <v>429</v>
      </c>
      <c r="I26" s="183" t="s">
        <v>432</v>
      </c>
      <c r="J26" s="183" t="s">
        <v>433</v>
      </c>
      <c r="K26" s="183" t="s">
        <v>537</v>
      </c>
      <c r="L26" s="183" t="s">
        <v>414</v>
      </c>
    </row>
    <row r="27" spans="1:12" s="76" customFormat="1" ht="33.75" customHeight="1">
      <c r="A27" s="652"/>
      <c r="B27" s="183" t="s">
        <v>417</v>
      </c>
      <c r="C27" s="183" t="s">
        <v>418</v>
      </c>
      <c r="D27" s="183" t="s">
        <v>425</v>
      </c>
      <c r="E27" s="183" t="s">
        <v>426</v>
      </c>
      <c r="F27" s="183" t="s">
        <v>435</v>
      </c>
      <c r="G27" s="183" t="s">
        <v>447</v>
      </c>
      <c r="H27" s="183" t="s">
        <v>494</v>
      </c>
      <c r="I27" s="183" t="s">
        <v>495</v>
      </c>
      <c r="J27" s="183" t="s">
        <v>496</v>
      </c>
      <c r="K27" s="183" t="s">
        <v>497</v>
      </c>
      <c r="L27" s="183" t="s">
        <v>498</v>
      </c>
    </row>
    <row r="28" spans="1:12" s="76" customFormat="1" ht="27.75" customHeight="1">
      <c r="A28" s="652"/>
      <c r="B28" s="183" t="s">
        <v>499</v>
      </c>
      <c r="C28" s="183" t="s">
        <v>500</v>
      </c>
      <c r="D28" s="183" t="s">
        <v>501</v>
      </c>
      <c r="E28" s="183" t="s">
        <v>502</v>
      </c>
      <c r="F28" s="183" t="s">
        <v>503</v>
      </c>
      <c r="G28" s="183" t="s">
        <v>504</v>
      </c>
      <c r="H28" s="183" t="s">
        <v>509</v>
      </c>
      <c r="I28" s="183" t="s">
        <v>512</v>
      </c>
      <c r="J28" s="183" t="s">
        <v>513</v>
      </c>
      <c r="K28" s="183" t="s">
        <v>514</v>
      </c>
      <c r="L28" s="183" t="s">
        <v>516</v>
      </c>
    </row>
    <row r="29" spans="1:12" s="76" customFormat="1" ht="27.75" customHeight="1">
      <c r="A29" s="652"/>
      <c r="B29" s="183" t="s">
        <v>517</v>
      </c>
      <c r="C29" s="183" t="s">
        <v>518</v>
      </c>
      <c r="D29" s="183" t="s">
        <v>519</v>
      </c>
      <c r="E29" s="183" t="s">
        <v>520</v>
      </c>
      <c r="F29" s="183" t="s">
        <v>521</v>
      </c>
      <c r="G29" s="183" t="s">
        <v>522</v>
      </c>
      <c r="H29" s="183" t="s">
        <v>523</v>
      </c>
      <c r="I29" s="183" t="s">
        <v>524</v>
      </c>
      <c r="J29" s="183" t="s">
        <v>525</v>
      </c>
      <c r="K29" s="183" t="s">
        <v>581</v>
      </c>
      <c r="L29" s="183" t="s">
        <v>582</v>
      </c>
    </row>
    <row r="30" spans="1:12" s="76" customFormat="1" ht="24" customHeight="1">
      <c r="A30" s="652"/>
      <c r="B30" s="183" t="s">
        <v>583</v>
      </c>
      <c r="C30" s="183" t="s">
        <v>540</v>
      </c>
      <c r="D30" s="183" t="s">
        <v>584</v>
      </c>
      <c r="E30" s="183" t="s">
        <v>35</v>
      </c>
      <c r="F30" s="183" t="s">
        <v>586</v>
      </c>
      <c r="G30" s="183" t="s">
        <v>587</v>
      </c>
      <c r="H30" s="183" t="s">
        <v>36</v>
      </c>
      <c r="I30" s="183" t="s">
        <v>527</v>
      </c>
      <c r="J30" s="183" t="s">
        <v>528</v>
      </c>
      <c r="K30" s="183" t="s">
        <v>529</v>
      </c>
      <c r="L30" s="183" t="s">
        <v>530</v>
      </c>
    </row>
    <row r="31" spans="1:12" s="76" customFormat="1" ht="24" customHeight="1">
      <c r="A31" s="652"/>
      <c r="B31" s="183" t="s">
        <v>531</v>
      </c>
      <c r="C31" s="183" t="s">
        <v>532</v>
      </c>
      <c r="D31" s="183" t="s">
        <v>505</v>
      </c>
      <c r="E31" s="183" t="s">
        <v>506</v>
      </c>
      <c r="F31" s="183" t="s">
        <v>507</v>
      </c>
      <c r="G31" s="183" t="s">
        <v>508</v>
      </c>
      <c r="H31" s="183" t="s">
        <v>510</v>
      </c>
      <c r="I31" s="183" t="s">
        <v>511</v>
      </c>
      <c r="J31" s="183" t="s">
        <v>515</v>
      </c>
      <c r="K31" s="183" t="s">
        <v>539</v>
      </c>
      <c r="L31" s="183" t="s">
        <v>541</v>
      </c>
    </row>
    <row r="32" spans="1:12" s="76" customFormat="1" ht="24" customHeight="1">
      <c r="A32" s="30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76" customFormat="1" ht="24" customHeight="1">
      <c r="A33" s="653" t="s">
        <v>613</v>
      </c>
      <c r="B33" s="305" t="s">
        <v>9</v>
      </c>
      <c r="C33" s="185" t="s">
        <v>408</v>
      </c>
      <c r="D33" s="185" t="s">
        <v>409</v>
      </c>
      <c r="E33" s="185" t="s">
        <v>410</v>
      </c>
      <c r="F33" s="185" t="s">
        <v>411</v>
      </c>
      <c r="G33" s="185" t="s">
        <v>415</v>
      </c>
      <c r="H33" s="185" t="s">
        <v>578</v>
      </c>
      <c r="I33" s="185" t="s">
        <v>427</v>
      </c>
      <c r="J33" s="185" t="s">
        <v>428</v>
      </c>
      <c r="K33" s="185" t="s">
        <v>431</v>
      </c>
      <c r="L33" s="185" t="s">
        <v>439</v>
      </c>
    </row>
    <row r="34" spans="1:12" s="76" customFormat="1" ht="24" customHeight="1">
      <c r="A34" s="653"/>
      <c r="B34" s="305" t="s">
        <v>443</v>
      </c>
      <c r="C34" s="185" t="s">
        <v>444</v>
      </c>
      <c r="D34" s="185" t="s">
        <v>449</v>
      </c>
      <c r="E34" s="185" t="s">
        <v>450</v>
      </c>
      <c r="F34" s="185" t="s">
        <v>451</v>
      </c>
      <c r="G34" s="185" t="s">
        <v>452</v>
      </c>
      <c r="H34" s="185" t="s">
        <v>455</v>
      </c>
      <c r="I34" s="185" t="s">
        <v>456</v>
      </c>
      <c r="J34" s="185" t="s">
        <v>458</v>
      </c>
      <c r="K34" s="185" t="s">
        <v>459</v>
      </c>
      <c r="L34" s="185" t="s">
        <v>460</v>
      </c>
    </row>
    <row r="35" spans="1:12" s="76" customFormat="1" ht="24" customHeight="1">
      <c r="A35" s="653"/>
      <c r="B35" s="305" t="s">
        <v>461</v>
      </c>
      <c r="C35" s="185" t="s">
        <v>462</v>
      </c>
      <c r="D35" s="185" t="s">
        <v>419</v>
      </c>
      <c r="E35" s="185" t="s">
        <v>420</v>
      </c>
      <c r="F35" s="185" t="s">
        <v>421</v>
      </c>
      <c r="G35" s="185" t="s">
        <v>430</v>
      </c>
      <c r="H35" s="185" t="s">
        <v>434</v>
      </c>
      <c r="I35" s="185" t="s">
        <v>437</v>
      </c>
      <c r="J35" s="185" t="s">
        <v>438</v>
      </c>
      <c r="K35" s="185" t="s">
        <v>440</v>
      </c>
      <c r="L35" s="185" t="s">
        <v>441</v>
      </c>
    </row>
    <row r="36" spans="1:12" s="76" customFormat="1" ht="24" customHeight="1">
      <c r="A36" s="653"/>
      <c r="B36" s="305" t="s">
        <v>442</v>
      </c>
      <c r="C36" s="185" t="s">
        <v>445</v>
      </c>
      <c r="D36" s="185" t="s">
        <v>446</v>
      </c>
      <c r="E36" s="185" t="s">
        <v>448</v>
      </c>
      <c r="F36" s="185" t="s">
        <v>454</v>
      </c>
      <c r="G36" s="185" t="s">
        <v>457</v>
      </c>
      <c r="H36" s="185" t="s">
        <v>474</v>
      </c>
      <c r="I36" s="185" t="s">
        <v>475</v>
      </c>
      <c r="J36" s="185" t="s">
        <v>479</v>
      </c>
      <c r="K36" s="185" t="s">
        <v>480</v>
      </c>
      <c r="L36" s="185" t="s">
        <v>481</v>
      </c>
    </row>
    <row r="37" spans="1:12" s="76" customFormat="1" ht="24" customHeight="1">
      <c r="A37" s="653"/>
      <c r="B37" s="305" t="s">
        <v>488</v>
      </c>
      <c r="C37" s="185" t="s">
        <v>489</v>
      </c>
      <c r="D37" s="185" t="s">
        <v>468</v>
      </c>
      <c r="E37" s="185" t="s">
        <v>469</v>
      </c>
      <c r="F37" s="185" t="s">
        <v>470</v>
      </c>
      <c r="G37" s="185" t="s">
        <v>471</v>
      </c>
      <c r="H37" s="185" t="s">
        <v>472</v>
      </c>
      <c r="I37" s="185" t="s">
        <v>473</v>
      </c>
      <c r="J37" s="185" t="s">
        <v>477</v>
      </c>
      <c r="K37" s="185" t="s">
        <v>478</v>
      </c>
      <c r="L37" s="185" t="s">
        <v>482</v>
      </c>
    </row>
    <row r="38" spans="1:12" s="76" customFormat="1" ht="24" customHeight="1">
      <c r="A38" s="653"/>
      <c r="B38" s="305" t="s">
        <v>483</v>
      </c>
      <c r="C38" s="185" t="s">
        <v>484</v>
      </c>
      <c r="D38" s="185" t="s">
        <v>485</v>
      </c>
      <c r="E38" s="185" t="s">
        <v>486</v>
      </c>
      <c r="F38" s="185" t="s">
        <v>487</v>
      </c>
      <c r="G38" s="185" t="s">
        <v>490</v>
      </c>
      <c r="H38" s="185" t="s">
        <v>491</v>
      </c>
      <c r="I38" s="185" t="s">
        <v>492</v>
      </c>
      <c r="J38" s="185" t="s">
        <v>464</v>
      </c>
      <c r="K38" s="185" t="s">
        <v>465</v>
      </c>
      <c r="L38" s="185" t="s">
        <v>466</v>
      </c>
    </row>
    <row r="39" spans="1:12" s="76" customFormat="1" ht="24" customHeight="1">
      <c r="A39" s="653"/>
      <c r="B39" s="305" t="s">
        <v>467</v>
      </c>
      <c r="C39" s="185" t="s">
        <v>535</v>
      </c>
      <c r="D39" s="185" t="s">
        <v>533</v>
      </c>
      <c r="E39" s="185" t="s">
        <v>534</v>
      </c>
      <c r="F39" s="185" t="s">
        <v>560</v>
      </c>
      <c r="G39" s="185" t="s">
        <v>31</v>
      </c>
      <c r="H39" s="185" t="s">
        <v>32</v>
      </c>
      <c r="I39" s="185" t="s">
        <v>551</v>
      </c>
      <c r="J39" s="185" t="s">
        <v>552</v>
      </c>
      <c r="K39" s="185" t="s">
        <v>553</v>
      </c>
      <c r="L39" s="185" t="s">
        <v>554</v>
      </c>
    </row>
    <row r="40" spans="1:12" s="76" customFormat="1" ht="24" customHeight="1">
      <c r="A40" s="653"/>
      <c r="B40" s="305" t="s">
        <v>557</v>
      </c>
      <c r="C40" s="185" t="s">
        <v>558</v>
      </c>
      <c r="D40" s="185" t="s">
        <v>33</v>
      </c>
      <c r="E40" s="185" t="s">
        <v>436</v>
      </c>
      <c r="F40" s="185" t="s">
        <v>536</v>
      </c>
      <c r="G40" s="185" t="s">
        <v>592</v>
      </c>
      <c r="H40" s="185" t="s">
        <v>555</v>
      </c>
      <c r="I40" s="185" t="s">
        <v>556</v>
      </c>
      <c r="J40" s="185" t="s">
        <v>559</v>
      </c>
      <c r="K40" s="185" t="s">
        <v>562</v>
      </c>
      <c r="L40" s="185" t="s">
        <v>589</v>
      </c>
    </row>
    <row r="41" spans="1:12" s="76" customFormat="1" ht="24" customHeight="1">
      <c r="A41" s="653"/>
      <c r="B41" s="305" t="s">
        <v>617</v>
      </c>
      <c r="C41" s="185" t="s">
        <v>543</v>
      </c>
      <c r="D41" s="185" t="s">
        <v>544</v>
      </c>
      <c r="E41" s="185" t="s">
        <v>546</v>
      </c>
      <c r="F41" s="185" t="s">
        <v>548</v>
      </c>
      <c r="G41" s="185" t="s">
        <v>549</v>
      </c>
      <c r="H41" s="185" t="s">
        <v>550</v>
      </c>
      <c r="I41" s="185" t="s">
        <v>561</v>
      </c>
      <c r="J41" s="185" t="s">
        <v>588</v>
      </c>
      <c r="K41" s="185" t="s">
        <v>34</v>
      </c>
      <c r="L41" s="185" t="s">
        <v>590</v>
      </c>
    </row>
    <row r="42" spans="1:12" s="76" customFormat="1" ht="24" customHeight="1">
      <c r="A42" s="653"/>
      <c r="B42" s="185" t="s">
        <v>591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s="76" customFormat="1" ht="24" customHeight="1">
      <c r="A43" s="7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12" s="76" customFormat="1" ht="24" customHeight="1">
      <c r="A44" s="643" t="s">
        <v>614</v>
      </c>
      <c r="B44" s="185" t="s">
        <v>542</v>
      </c>
      <c r="C44" s="185" t="s">
        <v>545</v>
      </c>
      <c r="D44" s="185" t="s">
        <v>593</v>
      </c>
      <c r="E44" s="185" t="s">
        <v>594</v>
      </c>
      <c r="F44" s="185" t="s">
        <v>595</v>
      </c>
      <c r="G44" s="185" t="s">
        <v>596</v>
      </c>
      <c r="H44" s="185" t="s">
        <v>569</v>
      </c>
      <c r="I44" s="185" t="s">
        <v>570</v>
      </c>
      <c r="J44" s="185" t="s">
        <v>571</v>
      </c>
      <c r="K44" s="185" t="s">
        <v>572</v>
      </c>
      <c r="L44" s="185" t="s">
        <v>573</v>
      </c>
    </row>
    <row r="45" spans="1:12" s="76" customFormat="1" ht="24" customHeight="1">
      <c r="A45" s="643"/>
      <c r="B45" s="185" t="s">
        <v>574</v>
      </c>
      <c r="C45" s="185" t="s">
        <v>575</v>
      </c>
      <c r="D45" s="185" t="s">
        <v>611</v>
      </c>
      <c r="E45" s="185" t="s">
        <v>576</v>
      </c>
      <c r="F45" s="185" t="s">
        <v>577</v>
      </c>
      <c r="G45" s="113"/>
      <c r="H45" s="113"/>
      <c r="I45" s="113"/>
      <c r="J45" s="113"/>
      <c r="K45" s="113"/>
      <c r="L45" s="113"/>
    </row>
    <row r="46" spans="1:12" s="76" customFormat="1" ht="27" customHeight="1">
      <c r="A46" s="7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s="76" customFormat="1" ht="24" customHeight="1">
      <c r="A47" s="184" t="s">
        <v>23</v>
      </c>
      <c r="B47" s="185" t="s">
        <v>37</v>
      </c>
      <c r="C47" s="185" t="s">
        <v>38</v>
      </c>
      <c r="D47" s="185" t="s">
        <v>39</v>
      </c>
      <c r="E47" s="185" t="s">
        <v>40</v>
      </c>
      <c r="F47" s="185" t="s">
        <v>41</v>
      </c>
      <c r="G47" s="185" t="s">
        <v>42</v>
      </c>
      <c r="H47" s="113"/>
      <c r="I47" s="113"/>
      <c r="J47" s="113"/>
      <c r="K47" s="113"/>
      <c r="L47" s="113"/>
    </row>
    <row r="48" spans="1:12" s="76" customFormat="1" ht="24" customHeight="1">
      <c r="A48" s="116"/>
      <c r="B48" s="115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12" s="76" customFormat="1" ht="24" customHeight="1">
      <c r="A49" s="187" t="s">
        <v>43</v>
      </c>
      <c r="B49" s="183" t="s">
        <v>597</v>
      </c>
      <c r="C49" s="183" t="s">
        <v>598</v>
      </c>
      <c r="D49" s="188"/>
      <c r="E49" s="186"/>
      <c r="F49" s="186"/>
      <c r="G49" s="186"/>
      <c r="H49" s="186"/>
      <c r="I49" s="186"/>
      <c r="J49" s="186"/>
      <c r="K49" s="306"/>
      <c r="L49" s="306"/>
    </row>
    <row r="50" spans="1:12" s="95" customFormat="1" ht="12.75">
      <c r="A50" s="117"/>
      <c r="B50" s="307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2" s="95" customFormat="1" ht="12.75">
      <c r="A51" s="184" t="s">
        <v>44</v>
      </c>
      <c r="B51" s="185" t="s">
        <v>616</v>
      </c>
      <c r="C51" s="185" t="s">
        <v>615</v>
      </c>
      <c r="D51" s="306"/>
      <c r="E51" s="306"/>
      <c r="F51" s="306"/>
      <c r="G51" s="306"/>
      <c r="H51" s="306"/>
      <c r="J51" s="306"/>
      <c r="K51" s="306"/>
      <c r="L51" s="306"/>
    </row>
    <row r="52" s="95" customFormat="1" ht="12.75">
      <c r="B52" s="96"/>
    </row>
    <row r="53" s="95" customFormat="1" ht="12.75">
      <c r="B53" s="96"/>
    </row>
    <row r="54" s="95" customFormat="1" ht="12.75">
      <c r="B54" s="96"/>
    </row>
    <row r="55" s="95" customFormat="1" ht="12.75">
      <c r="B55" s="96"/>
    </row>
    <row r="56" s="95" customFormat="1" ht="12.75">
      <c r="B56" s="96"/>
    </row>
    <row r="57" s="95" customFormat="1" ht="12.75">
      <c r="B57" s="96"/>
    </row>
    <row r="58" s="95" customFormat="1" ht="12.75">
      <c r="B58" s="96"/>
    </row>
    <row r="59" s="95" customFormat="1" ht="12.75">
      <c r="B59" s="96"/>
    </row>
    <row r="60" s="95" customFormat="1" ht="12.75">
      <c r="B60" s="96"/>
    </row>
    <row r="61" s="95" customFormat="1" ht="12.75">
      <c r="B61" s="96"/>
    </row>
    <row r="62" s="95" customFormat="1" ht="12.75">
      <c r="B62" s="96"/>
    </row>
    <row r="63" s="95" customFormat="1" ht="12.75">
      <c r="B63" s="96"/>
    </row>
    <row r="64" s="95" customFormat="1" ht="12.75">
      <c r="B64" s="96"/>
    </row>
    <row r="65" s="95" customFormat="1" ht="12.75">
      <c r="B65" s="96"/>
    </row>
    <row r="66" s="95" customFormat="1" ht="12.75">
      <c r="B66" s="96"/>
    </row>
    <row r="67" s="95" customFormat="1" ht="12.75">
      <c r="B67" s="96"/>
    </row>
    <row r="68" s="95" customFormat="1" ht="12.75">
      <c r="B68" s="96"/>
    </row>
    <row r="69" s="95" customFormat="1" ht="12.75">
      <c r="B69" s="96"/>
    </row>
    <row r="70" s="95" customFormat="1" ht="12.75">
      <c r="B70" s="96"/>
    </row>
    <row r="71" s="95" customFormat="1" ht="12.75">
      <c r="B71" s="96"/>
    </row>
    <row r="72" s="95" customFormat="1" ht="12.75">
      <c r="B72" s="96"/>
    </row>
    <row r="73" s="95" customFormat="1" ht="12.75">
      <c r="B73" s="96"/>
    </row>
    <row r="74" s="95" customFormat="1" ht="12.75">
      <c r="B74" s="96"/>
    </row>
    <row r="75" s="95" customFormat="1" ht="12.75">
      <c r="B75" s="96"/>
    </row>
    <row r="76" s="95" customFormat="1" ht="12.75">
      <c r="B76" s="96"/>
    </row>
    <row r="77" s="95" customFormat="1" ht="12.75">
      <c r="B77" s="96"/>
    </row>
    <row r="78" s="95" customFormat="1" ht="12.75">
      <c r="B78" s="96"/>
    </row>
    <row r="79" s="95" customFormat="1" ht="12.75">
      <c r="B79" s="96"/>
    </row>
    <row r="80" s="95" customFormat="1" ht="12.75">
      <c r="B80" s="96"/>
    </row>
    <row r="81" s="95" customFormat="1" ht="12.75">
      <c r="B81" s="96"/>
    </row>
    <row r="82" s="95" customFormat="1" ht="12.75">
      <c r="B82" s="96"/>
    </row>
    <row r="83" s="95" customFormat="1" ht="12.75">
      <c r="B83" s="96"/>
    </row>
    <row r="84" s="95" customFormat="1" ht="12.75">
      <c r="B84" s="96"/>
    </row>
    <row r="85" s="95" customFormat="1" ht="12.75">
      <c r="B85" s="96"/>
    </row>
    <row r="86" s="95" customFormat="1" ht="12.75">
      <c r="B86" s="96"/>
    </row>
    <row r="87" s="95" customFormat="1" ht="12.75">
      <c r="B87" s="96"/>
    </row>
    <row r="88" s="95" customFormat="1" ht="12.75">
      <c r="B88" s="96"/>
    </row>
    <row r="89" s="95" customFormat="1" ht="12.75">
      <c r="B89" s="96"/>
    </row>
    <row r="90" s="95" customFormat="1" ht="12.75">
      <c r="B90" s="96"/>
    </row>
    <row r="91" s="95" customFormat="1" ht="12.75">
      <c r="B91" s="96"/>
    </row>
    <row r="92" s="95" customFormat="1" ht="12.75">
      <c r="B92" s="96"/>
    </row>
    <row r="93" s="95" customFormat="1" ht="12.75">
      <c r="B93" s="96"/>
    </row>
    <row r="94" s="95" customFormat="1" ht="12.75">
      <c r="B94" s="96"/>
    </row>
    <row r="95" s="95" customFormat="1" ht="12.75">
      <c r="B95" s="96"/>
    </row>
    <row r="96" s="95" customFormat="1" ht="12.75">
      <c r="B96" s="96"/>
    </row>
    <row r="97" s="95" customFormat="1" ht="12.75">
      <c r="B97" s="96"/>
    </row>
    <row r="98" s="95" customFormat="1" ht="12.75">
      <c r="B98" s="96"/>
    </row>
    <row r="99" s="95" customFormat="1" ht="12.75">
      <c r="B99" s="96"/>
    </row>
  </sheetData>
  <sheetProtection/>
  <mergeCells count="8">
    <mergeCell ref="A44:A45"/>
    <mergeCell ref="A8:J8"/>
    <mergeCell ref="A11:J11"/>
    <mergeCell ref="A15:B15"/>
    <mergeCell ref="A13:B14"/>
    <mergeCell ref="C13:J13"/>
    <mergeCell ref="A26:A31"/>
    <mergeCell ref="A33:A42"/>
  </mergeCells>
  <hyperlinks>
    <hyperlink ref="J10" location="Главная!A1" display="на главную"/>
  </hyperlinks>
  <printOptions/>
  <pageMargins left="0.19" right="0.16" top="0.22" bottom="0.17" header="0.17" footer="0.17"/>
  <pageSetup fitToHeight="3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6:M4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7.50390625" style="0" customWidth="1"/>
    <col min="2" max="9" width="9.875" style="0" customWidth="1"/>
  </cols>
  <sheetData>
    <row r="6" spans="1:13" ht="18" customHeight="1">
      <c r="A6" s="654" t="s">
        <v>386</v>
      </c>
      <c r="B6" s="654"/>
      <c r="C6" s="654"/>
      <c r="D6" s="654"/>
      <c r="E6" s="654"/>
      <c r="F6" s="654"/>
      <c r="G6" s="654"/>
      <c r="H6" s="654"/>
      <c r="I6" s="654"/>
      <c r="J6" s="144"/>
      <c r="K6" s="144"/>
      <c r="L6" s="144"/>
      <c r="M6" s="144"/>
    </row>
    <row r="8" spans="1:9" s="145" customFormat="1" ht="18" customHeight="1">
      <c r="A8" s="655" t="s">
        <v>375</v>
      </c>
      <c r="B8" s="656"/>
      <c r="C8" s="656"/>
      <c r="D8" s="656"/>
      <c r="E8" s="656"/>
      <c r="F8" s="656"/>
      <c r="G8" s="656"/>
      <c r="H8" s="656"/>
      <c r="I8" s="656"/>
    </row>
    <row r="9" spans="1:9" ht="72" customHeight="1">
      <c r="A9" s="308"/>
      <c r="B9" s="659" t="s">
        <v>56</v>
      </c>
      <c r="C9" s="659"/>
      <c r="D9" s="659"/>
      <c r="E9" s="659"/>
      <c r="F9" s="659"/>
      <c r="G9" s="659"/>
      <c r="H9" s="659"/>
      <c r="I9" s="659"/>
    </row>
    <row r="10" spans="1:9" ht="13.5">
      <c r="A10" s="309" t="s">
        <v>599</v>
      </c>
      <c r="B10" s="657" t="s">
        <v>563</v>
      </c>
      <c r="C10" s="657"/>
      <c r="D10" s="657" t="s">
        <v>564</v>
      </c>
      <c r="E10" s="657"/>
      <c r="F10" s="657" t="s">
        <v>463</v>
      </c>
      <c r="G10" s="657"/>
      <c r="H10" s="657" t="s">
        <v>55</v>
      </c>
      <c r="I10" s="657"/>
    </row>
    <row r="11" spans="1:9" ht="12.75">
      <c r="A11" s="310" t="s">
        <v>600</v>
      </c>
      <c r="B11" s="658">
        <f>12.5*Головна!$B$131</f>
        <v>423.75</v>
      </c>
      <c r="C11" s="658"/>
      <c r="D11" s="658">
        <f>12.63*Головна!$B$131</f>
        <v>428.157</v>
      </c>
      <c r="E11" s="658"/>
      <c r="F11" s="658">
        <f>13*Головна!$B$131</f>
        <v>440.7</v>
      </c>
      <c r="G11" s="658"/>
      <c r="H11" s="658">
        <f>12.92*Головна!$B$131</f>
        <v>437.988</v>
      </c>
      <c r="I11" s="658"/>
    </row>
    <row r="12" spans="1:9" ht="12.75">
      <c r="A12" s="310" t="s">
        <v>601</v>
      </c>
      <c r="B12" s="658">
        <f>13.53*Головна!$B$131</f>
        <v>458.667</v>
      </c>
      <c r="C12" s="658"/>
      <c r="D12" s="658">
        <f>13.66*Головна!$B$131</f>
        <v>463.074</v>
      </c>
      <c r="E12" s="658"/>
      <c r="F12" s="658">
        <f>14.05*Головна!$B$131</f>
        <v>476.295</v>
      </c>
      <c r="G12" s="658"/>
      <c r="H12" s="658">
        <f>13.94*Головна!$B$131</f>
        <v>472.566</v>
      </c>
      <c r="I12" s="658"/>
    </row>
    <row r="13" spans="1:9" ht="12.75">
      <c r="A13" s="310" t="s">
        <v>602</v>
      </c>
      <c r="B13" s="658">
        <f>21.95*Головна!$B$131</f>
        <v>744.1049999999999</v>
      </c>
      <c r="C13" s="658"/>
      <c r="D13" s="658">
        <f>22.11*Головна!$B$131</f>
        <v>749.529</v>
      </c>
      <c r="E13" s="658"/>
      <c r="F13" s="658">
        <f>22.5*Головна!$B$131</f>
        <v>762.75</v>
      </c>
      <c r="G13" s="658"/>
      <c r="H13" s="658">
        <f>22.39*Головна!$B$131</f>
        <v>759.021</v>
      </c>
      <c r="I13" s="658"/>
    </row>
    <row r="14" spans="1:9" ht="12.75">
      <c r="A14" s="310"/>
      <c r="B14" s="660"/>
      <c r="C14" s="660"/>
      <c r="D14" s="660"/>
      <c r="E14" s="660"/>
      <c r="F14" s="660"/>
      <c r="G14" s="660"/>
      <c r="H14" s="660"/>
      <c r="I14" s="660"/>
    </row>
    <row r="15" spans="1:9" ht="12.75">
      <c r="A15" s="6" t="s">
        <v>603</v>
      </c>
      <c r="B15" s="661" t="s">
        <v>57</v>
      </c>
      <c r="C15" s="662"/>
      <c r="D15" s="661" t="s">
        <v>57</v>
      </c>
      <c r="E15" s="662"/>
      <c r="F15" s="661" t="s">
        <v>57</v>
      </c>
      <c r="G15" s="662"/>
      <c r="H15" s="661" t="s">
        <v>57</v>
      </c>
      <c r="I15" s="662"/>
    </row>
    <row r="17" spans="1:2" ht="12.75">
      <c r="A17" s="180" t="s">
        <v>604</v>
      </c>
      <c r="B17" t="s">
        <v>566</v>
      </c>
    </row>
    <row r="18" ht="12.75">
      <c r="A18" s="180"/>
    </row>
    <row r="19" spans="1:4" ht="12.75">
      <c r="A19" s="472" t="s">
        <v>28</v>
      </c>
      <c r="B19" s="472"/>
      <c r="C19" s="472"/>
      <c r="D19" s="472"/>
    </row>
    <row r="20" spans="1:4" ht="12.75">
      <c r="A20" s="472" t="s">
        <v>30</v>
      </c>
      <c r="B20" s="472"/>
      <c r="C20" s="289" t="e">
        <f>0.95*'[2]Главная'!B137</f>
        <v>#REF!</v>
      </c>
      <c r="D20" s="290" t="s">
        <v>621</v>
      </c>
    </row>
    <row r="21" spans="1:4" ht="12.75">
      <c r="A21" s="192"/>
      <c r="B21" s="192"/>
      <c r="C21" s="192"/>
      <c r="D21" s="192"/>
    </row>
    <row r="22" ht="15">
      <c r="A22" s="111" t="s">
        <v>605</v>
      </c>
    </row>
    <row r="24" spans="1:3" ht="12.75">
      <c r="A24" s="311" t="s">
        <v>563</v>
      </c>
      <c r="B24" s="312" t="s">
        <v>405</v>
      </c>
      <c r="C24" s="312" t="s">
        <v>404</v>
      </c>
    </row>
    <row r="25" spans="1:9" ht="12.75">
      <c r="A25" s="416" t="s">
        <v>564</v>
      </c>
      <c r="B25" s="6" t="s">
        <v>406</v>
      </c>
      <c r="C25" s="6" t="s">
        <v>407</v>
      </c>
      <c r="D25" s="6" t="s">
        <v>408</v>
      </c>
      <c r="E25" s="6" t="s">
        <v>409</v>
      </c>
      <c r="F25" s="6" t="s">
        <v>410</v>
      </c>
      <c r="G25" s="6" t="s">
        <v>411</v>
      </c>
      <c r="H25" s="6" t="s">
        <v>461</v>
      </c>
      <c r="I25" s="6" t="s">
        <v>462</v>
      </c>
    </row>
    <row r="26" spans="1:9" ht="12.75">
      <c r="A26" s="416"/>
      <c r="B26" s="6" t="s">
        <v>412</v>
      </c>
      <c r="C26" s="6" t="s">
        <v>413</v>
      </c>
      <c r="D26" s="6" t="s">
        <v>414</v>
      </c>
      <c r="E26" s="6" t="s">
        <v>415</v>
      </c>
      <c r="F26" s="6" t="s">
        <v>416</v>
      </c>
      <c r="G26" s="6" t="s">
        <v>417</v>
      </c>
      <c r="H26" s="6" t="s">
        <v>418</v>
      </c>
      <c r="I26" s="6" t="s">
        <v>419</v>
      </c>
    </row>
    <row r="27" spans="1:9" ht="12.75">
      <c r="A27" s="416"/>
      <c r="B27" s="6" t="s">
        <v>420</v>
      </c>
      <c r="C27" s="6" t="s">
        <v>421</v>
      </c>
      <c r="D27" s="6" t="s">
        <v>422</v>
      </c>
      <c r="E27" s="6" t="s">
        <v>423</v>
      </c>
      <c r="F27" s="6" t="s">
        <v>424</v>
      </c>
      <c r="G27" s="6" t="s">
        <v>425</v>
      </c>
      <c r="H27" s="6" t="s">
        <v>578</v>
      </c>
      <c r="I27" s="6" t="s">
        <v>426</v>
      </c>
    </row>
    <row r="28" spans="1:9" ht="12.75">
      <c r="A28" s="416"/>
      <c r="B28" s="6" t="s">
        <v>427</v>
      </c>
      <c r="C28" s="6" t="s">
        <v>428</v>
      </c>
      <c r="D28" s="6" t="s">
        <v>429</v>
      </c>
      <c r="E28" s="6" t="s">
        <v>430</v>
      </c>
      <c r="F28" s="6" t="s">
        <v>431</v>
      </c>
      <c r="G28" s="6" t="s">
        <v>432</v>
      </c>
      <c r="H28" s="6" t="s">
        <v>433</v>
      </c>
      <c r="I28" s="6" t="s">
        <v>434</v>
      </c>
    </row>
    <row r="29" spans="1:9" ht="12.75">
      <c r="A29" s="416"/>
      <c r="B29" s="6" t="s">
        <v>435</v>
      </c>
      <c r="C29" s="6" t="s">
        <v>436</v>
      </c>
      <c r="D29" s="6" t="s">
        <v>437</v>
      </c>
      <c r="E29" s="6" t="s">
        <v>438</v>
      </c>
      <c r="F29" s="6" t="s">
        <v>439</v>
      </c>
      <c r="G29" s="6" t="s">
        <v>440</v>
      </c>
      <c r="H29" s="6" t="s">
        <v>441</v>
      </c>
      <c r="I29" s="6" t="s">
        <v>442</v>
      </c>
    </row>
    <row r="30" spans="1:9" ht="12.75">
      <c r="A30" s="416"/>
      <c r="B30" s="6" t="s">
        <v>443</v>
      </c>
      <c r="C30" s="6" t="s">
        <v>444</v>
      </c>
      <c r="D30" s="6" t="s">
        <v>445</v>
      </c>
      <c r="E30" s="6" t="s">
        <v>446</v>
      </c>
      <c r="F30" s="6" t="s">
        <v>447</v>
      </c>
      <c r="G30" s="6" t="s">
        <v>448</v>
      </c>
      <c r="H30" s="6" t="s">
        <v>449</v>
      </c>
      <c r="I30" s="6" t="s">
        <v>450</v>
      </c>
    </row>
    <row r="31" spans="1:9" ht="12.75">
      <c r="A31" s="416"/>
      <c r="B31" s="6" t="s">
        <v>451</v>
      </c>
      <c r="C31" s="6" t="s">
        <v>452</v>
      </c>
      <c r="D31" s="6" t="s">
        <v>453</v>
      </c>
      <c r="E31" s="6" t="s">
        <v>454</v>
      </c>
      <c r="F31" s="6" t="s">
        <v>455</v>
      </c>
      <c r="G31" s="6" t="s">
        <v>456</v>
      </c>
      <c r="H31" s="6" t="s">
        <v>457</v>
      </c>
      <c r="I31" s="6" t="s">
        <v>458</v>
      </c>
    </row>
    <row r="32" spans="1:3" ht="12.75">
      <c r="A32" s="416"/>
      <c r="B32" s="313" t="s">
        <v>459</v>
      </c>
      <c r="C32" s="313" t="s">
        <v>460</v>
      </c>
    </row>
    <row r="33" spans="1:9" ht="12.75">
      <c r="A33" s="663" t="s">
        <v>463</v>
      </c>
      <c r="B33" s="314" t="s">
        <v>464</v>
      </c>
      <c r="C33" s="314" t="s">
        <v>465</v>
      </c>
      <c r="D33" s="314" t="s">
        <v>466</v>
      </c>
      <c r="E33" s="314" t="s">
        <v>467</v>
      </c>
      <c r="F33" s="314" t="s">
        <v>468</v>
      </c>
      <c r="G33" s="314" t="s">
        <v>469</v>
      </c>
      <c r="H33" s="314" t="s">
        <v>470</v>
      </c>
      <c r="I33" s="314" t="s">
        <v>471</v>
      </c>
    </row>
    <row r="34" spans="1:9" ht="12.75">
      <c r="A34" s="663"/>
      <c r="B34" s="314" t="s">
        <v>472</v>
      </c>
      <c r="C34" s="314" t="s">
        <v>473</v>
      </c>
      <c r="D34" s="314" t="s">
        <v>474</v>
      </c>
      <c r="E34" s="314" t="s">
        <v>475</v>
      </c>
      <c r="F34" s="314" t="s">
        <v>477</v>
      </c>
      <c r="G34" s="314" t="s">
        <v>478</v>
      </c>
      <c r="H34" s="314" t="s">
        <v>479</v>
      </c>
      <c r="I34" s="314" t="s">
        <v>480</v>
      </c>
    </row>
    <row r="35" spans="1:9" ht="12.75">
      <c r="A35" s="663"/>
      <c r="B35" s="314" t="s">
        <v>481</v>
      </c>
      <c r="C35" s="314" t="s">
        <v>482</v>
      </c>
      <c r="D35" s="314" t="s">
        <v>483</v>
      </c>
      <c r="E35" s="314" t="s">
        <v>484</v>
      </c>
      <c r="F35" s="314" t="s">
        <v>485</v>
      </c>
      <c r="G35" s="314" t="s">
        <v>486</v>
      </c>
      <c r="H35" s="314" t="s">
        <v>487</v>
      </c>
      <c r="I35" s="314" t="s">
        <v>488</v>
      </c>
    </row>
    <row r="36" spans="1:5" ht="12.75">
      <c r="A36" s="663"/>
      <c r="B36" s="312" t="s">
        <v>489</v>
      </c>
      <c r="C36" s="312" t="s">
        <v>490</v>
      </c>
      <c r="D36" s="312" t="s">
        <v>491</v>
      </c>
      <c r="E36" s="312" t="s">
        <v>492</v>
      </c>
    </row>
    <row r="37" spans="1:9" ht="12.75">
      <c r="A37" s="664" t="s">
        <v>493</v>
      </c>
      <c r="B37" s="315" t="s">
        <v>494</v>
      </c>
      <c r="C37" s="315" t="s">
        <v>495</v>
      </c>
      <c r="D37" s="315" t="s">
        <v>496</v>
      </c>
      <c r="E37" s="315" t="s">
        <v>497</v>
      </c>
      <c r="F37" s="315" t="s">
        <v>498</v>
      </c>
      <c r="G37" s="315" t="s">
        <v>499</v>
      </c>
      <c r="H37" s="315" t="s">
        <v>500</v>
      </c>
      <c r="I37" s="315" t="s">
        <v>501</v>
      </c>
    </row>
    <row r="38" spans="1:9" ht="12.75">
      <c r="A38" s="664"/>
      <c r="B38" s="315" t="s">
        <v>502</v>
      </c>
      <c r="C38" s="315" t="s">
        <v>503</v>
      </c>
      <c r="D38" s="315" t="s">
        <v>504</v>
      </c>
      <c r="E38" s="315" t="s">
        <v>505</v>
      </c>
      <c r="F38" s="315" t="s">
        <v>506</v>
      </c>
      <c r="G38" s="315" t="s">
        <v>507</v>
      </c>
      <c r="H38" s="315" t="s">
        <v>508</v>
      </c>
      <c r="I38" s="315" t="s">
        <v>509</v>
      </c>
    </row>
    <row r="39" spans="1:9" ht="12.75">
      <c r="A39" s="664"/>
      <c r="B39" s="315" t="s">
        <v>510</v>
      </c>
      <c r="C39" s="315" t="s">
        <v>511</v>
      </c>
      <c r="D39" s="315" t="s">
        <v>512</v>
      </c>
      <c r="E39" s="315" t="s">
        <v>513</v>
      </c>
      <c r="F39" s="315" t="s">
        <v>514</v>
      </c>
      <c r="G39" s="315" t="s">
        <v>515</v>
      </c>
      <c r="H39" s="315" t="s">
        <v>516</v>
      </c>
      <c r="I39" s="315" t="s">
        <v>517</v>
      </c>
    </row>
    <row r="40" spans="1:9" ht="12.75">
      <c r="A40" s="664"/>
      <c r="B40" s="315" t="s">
        <v>518</v>
      </c>
      <c r="C40" s="315" t="s">
        <v>519</v>
      </c>
      <c r="D40" s="315" t="s">
        <v>520</v>
      </c>
      <c r="E40" s="315" t="s">
        <v>521</v>
      </c>
      <c r="F40" s="315" t="s">
        <v>522</v>
      </c>
      <c r="G40" s="315" t="s">
        <v>523</v>
      </c>
      <c r="H40" s="315" t="s">
        <v>524</v>
      </c>
      <c r="I40" s="315" t="s">
        <v>525</v>
      </c>
    </row>
    <row r="41" spans="1:9" ht="12.75">
      <c r="A41" s="664"/>
      <c r="B41" s="315" t="s">
        <v>581</v>
      </c>
      <c r="C41" s="315" t="s">
        <v>582</v>
      </c>
      <c r="D41" s="315" t="s">
        <v>583</v>
      </c>
      <c r="E41" s="315" t="s">
        <v>540</v>
      </c>
      <c r="F41" s="315" t="s">
        <v>584</v>
      </c>
      <c r="G41" s="315" t="s">
        <v>585</v>
      </c>
      <c r="H41" s="315" t="s">
        <v>586</v>
      </c>
      <c r="I41" s="315" t="s">
        <v>587</v>
      </c>
    </row>
    <row r="42" spans="1:8" ht="12.75">
      <c r="A42" s="664"/>
      <c r="B42" s="315" t="s">
        <v>526</v>
      </c>
      <c r="C42" s="315" t="s">
        <v>527</v>
      </c>
      <c r="D42" s="315" t="s">
        <v>528</v>
      </c>
      <c r="E42" s="315" t="s">
        <v>529</v>
      </c>
      <c r="F42" s="315" t="s">
        <v>530</v>
      </c>
      <c r="G42" s="315" t="s">
        <v>531</v>
      </c>
      <c r="H42" s="315" t="s">
        <v>532</v>
      </c>
    </row>
  </sheetData>
  <sheetProtection/>
  <mergeCells count="32">
    <mergeCell ref="D14:E14"/>
    <mergeCell ref="F14:G14"/>
    <mergeCell ref="A20:B20"/>
    <mergeCell ref="A25:A32"/>
    <mergeCell ref="A33:A36"/>
    <mergeCell ref="A37:A42"/>
    <mergeCell ref="H13:I13"/>
    <mergeCell ref="H14:I14"/>
    <mergeCell ref="H15:I15"/>
    <mergeCell ref="A19:D19"/>
    <mergeCell ref="B13:C13"/>
    <mergeCell ref="D13:E13"/>
    <mergeCell ref="F15:G15"/>
    <mergeCell ref="B15:C15"/>
    <mergeCell ref="D15:E15"/>
    <mergeCell ref="B14:C14"/>
    <mergeCell ref="H11:I11"/>
    <mergeCell ref="H12:I12"/>
    <mergeCell ref="B11:C11"/>
    <mergeCell ref="D11:E11"/>
    <mergeCell ref="F11:G11"/>
    <mergeCell ref="B12:C12"/>
    <mergeCell ref="A6:I6"/>
    <mergeCell ref="A8:I8"/>
    <mergeCell ref="B10:C10"/>
    <mergeCell ref="D10:E10"/>
    <mergeCell ref="F10:G10"/>
    <mergeCell ref="F13:G13"/>
    <mergeCell ref="B9:I9"/>
    <mergeCell ref="H10:I10"/>
    <mergeCell ref="D12:E12"/>
    <mergeCell ref="F12:G1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M2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1.375" style="0" customWidth="1"/>
    <col min="2" max="2" width="15.50390625" style="0" customWidth="1"/>
    <col min="3" max="3" width="14.00390625" style="0" customWidth="1"/>
    <col min="4" max="4" width="15.50390625" style="0" customWidth="1"/>
    <col min="5" max="5" width="14.125" style="0" customWidth="1"/>
    <col min="6" max="6" width="13.625" style="0" customWidth="1"/>
    <col min="7" max="7" width="6.00390625" style="0" customWidth="1"/>
    <col min="8" max="8" width="6.375" style="0" customWidth="1"/>
    <col min="9" max="9" width="13.625" style="0" customWidth="1"/>
    <col min="10" max="10" width="13.125" style="0" customWidth="1"/>
    <col min="11" max="13" width="12.50390625" style="0" customWidth="1"/>
  </cols>
  <sheetData>
    <row r="6" spans="1:13" ht="42.75" customHeight="1">
      <c r="A6" s="667" t="s">
        <v>374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</row>
    <row r="8" spans="1:13" ht="38.25" customHeight="1">
      <c r="A8" s="144"/>
      <c r="B8" s="665" t="s">
        <v>766</v>
      </c>
      <c r="C8" s="665"/>
      <c r="D8" s="665"/>
      <c r="E8" s="665"/>
      <c r="F8" s="666"/>
      <c r="G8" s="190"/>
      <c r="H8" s="190"/>
      <c r="I8" s="190"/>
      <c r="J8" s="189"/>
      <c r="K8" s="189"/>
      <c r="L8" s="189"/>
      <c r="M8" s="189"/>
    </row>
    <row r="9" spans="1:12" ht="31.5" customHeight="1">
      <c r="A9" s="316" t="s">
        <v>64</v>
      </c>
      <c r="B9" s="316" t="s">
        <v>145</v>
      </c>
      <c r="C9" s="316" t="s">
        <v>146</v>
      </c>
      <c r="D9" s="316" t="s">
        <v>147</v>
      </c>
      <c r="E9" s="361" t="s">
        <v>148</v>
      </c>
      <c r="F9" s="362"/>
      <c r="G9" s="321"/>
      <c r="H9" s="321"/>
      <c r="I9" s="4"/>
      <c r="J9" s="107"/>
      <c r="K9" s="107"/>
      <c r="L9" s="107"/>
    </row>
    <row r="10" spans="1:12" ht="31.5" customHeight="1">
      <c r="A10" s="317" t="s">
        <v>58</v>
      </c>
      <c r="B10" s="154">
        <f>84.58164*Головна!B131</f>
        <v>2867.317596</v>
      </c>
      <c r="C10" s="154">
        <f>100.72458*Головна!B131</f>
        <v>3414.563262</v>
      </c>
      <c r="D10" s="154">
        <f>115.23072*Головна!B131</f>
        <v>3906.321408</v>
      </c>
      <c r="E10" s="154">
        <f>128.2842*Головна!B131</f>
        <v>4348.834379999999</v>
      </c>
      <c r="F10" s="321"/>
      <c r="G10" s="321"/>
      <c r="H10" s="321"/>
      <c r="I10" s="4"/>
      <c r="J10" s="107"/>
      <c r="K10" s="107"/>
      <c r="L10" s="107"/>
    </row>
    <row r="11" spans="1:12" ht="31.5" customHeight="1">
      <c r="A11" s="317" t="s">
        <v>59</v>
      </c>
      <c r="B11" s="318" t="s">
        <v>722</v>
      </c>
      <c r="C11" s="318" t="s">
        <v>722</v>
      </c>
      <c r="D11" s="318" t="s">
        <v>722</v>
      </c>
      <c r="E11" s="318" t="s">
        <v>722</v>
      </c>
      <c r="F11" s="321"/>
      <c r="G11" s="321"/>
      <c r="H11" s="321"/>
      <c r="I11" s="4"/>
      <c r="J11" s="107"/>
      <c r="K11" s="107"/>
      <c r="L11" s="107"/>
    </row>
    <row r="12" spans="1:12" ht="31.5" customHeight="1">
      <c r="A12" s="317" t="s">
        <v>60</v>
      </c>
      <c r="B12" s="154">
        <f>65.94258*Головна!B131</f>
        <v>2235.453462</v>
      </c>
      <c r="C12" s="154">
        <f>94.25922*Головна!B131</f>
        <v>3195.387558</v>
      </c>
      <c r="D12" s="154">
        <f>119.691*Головна!B131</f>
        <v>4057.5249</v>
      </c>
      <c r="E12" s="154">
        <f>142.52436*Головна!B131</f>
        <v>4831.575804</v>
      </c>
      <c r="F12" s="321"/>
      <c r="G12" s="321"/>
      <c r="H12" s="321"/>
      <c r="I12" s="4"/>
      <c r="J12" s="107"/>
      <c r="K12" s="107"/>
      <c r="L12" s="107"/>
    </row>
    <row r="13" spans="1:12" ht="31.5" customHeight="1">
      <c r="A13" s="317" t="s">
        <v>61</v>
      </c>
      <c r="B13" s="154">
        <f>89.90124*Головна!B131</f>
        <v>3047.652036</v>
      </c>
      <c r="C13" s="154">
        <f>118.19742*Головна!B131</f>
        <v>4006.8925379999996</v>
      </c>
      <c r="D13" s="154">
        <f>143.67012*Головна!B131</f>
        <v>4870.417068</v>
      </c>
      <c r="E13" s="154">
        <f>166.50348*Головна!B131</f>
        <v>5644.4679719999995</v>
      </c>
      <c r="F13" s="321"/>
      <c r="G13" s="321"/>
      <c r="H13" s="321"/>
      <c r="I13" s="4"/>
      <c r="J13" s="107"/>
      <c r="K13" s="107"/>
      <c r="L13" s="107"/>
    </row>
    <row r="14" spans="1:12" ht="31.5" customHeight="1">
      <c r="A14" s="317" t="s">
        <v>62</v>
      </c>
      <c r="B14" s="154">
        <f>64.7559*Головна!B131</f>
        <v>2195.2250099999997</v>
      </c>
      <c r="C14" s="154">
        <f>92.52012*Головна!B131</f>
        <v>3136.432068</v>
      </c>
      <c r="D14" s="154">
        <f>117.52224*Головна!B131</f>
        <v>3984.0039359999996</v>
      </c>
      <c r="E14" s="154">
        <f>139.9464*Головна!B131</f>
        <v>4744.18296</v>
      </c>
      <c r="F14" s="321"/>
      <c r="G14" s="321"/>
      <c r="H14" s="321"/>
      <c r="I14" s="4"/>
      <c r="J14" s="107"/>
      <c r="K14" s="107"/>
      <c r="L14" s="107"/>
    </row>
    <row r="15" spans="1:12" ht="31.5" customHeight="1">
      <c r="A15" s="317" t="s">
        <v>63</v>
      </c>
      <c r="B15" s="318" t="s">
        <v>722</v>
      </c>
      <c r="C15" s="318" t="s">
        <v>722</v>
      </c>
      <c r="D15" s="318" t="s">
        <v>722</v>
      </c>
      <c r="E15" s="318" t="s">
        <v>722</v>
      </c>
      <c r="F15" s="190"/>
      <c r="G15" s="1"/>
      <c r="H15" s="190"/>
      <c r="I15" s="4"/>
      <c r="J15" s="107"/>
      <c r="K15" s="107"/>
      <c r="L15" s="107"/>
    </row>
    <row r="16" spans="1:12" ht="31.5" customHeight="1">
      <c r="A16" s="319" t="s">
        <v>603</v>
      </c>
      <c r="B16" s="320" t="s">
        <v>65</v>
      </c>
      <c r="C16" s="320" t="s">
        <v>66</v>
      </c>
      <c r="D16" s="320" t="s">
        <v>67</v>
      </c>
      <c r="E16" s="320" t="s">
        <v>68</v>
      </c>
      <c r="H16" s="190"/>
      <c r="I16" s="4"/>
      <c r="J16" s="107"/>
      <c r="K16" s="107"/>
      <c r="L16" s="107"/>
    </row>
    <row r="17" ht="12.75">
      <c r="H17" s="190"/>
    </row>
    <row r="18" ht="12.75">
      <c r="I18" s="190"/>
    </row>
    <row r="19" spans="8:9" ht="12.75">
      <c r="H19" s="143"/>
      <c r="I19" s="190"/>
    </row>
    <row r="20" ht="12.75">
      <c r="A20" s="142" t="s">
        <v>69</v>
      </c>
    </row>
  </sheetData>
  <sheetProtection/>
  <mergeCells count="2">
    <mergeCell ref="B8:F8"/>
    <mergeCell ref="A6:M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12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5.875" style="0" customWidth="1"/>
    <col min="4" max="4" width="11.50390625" style="0" customWidth="1"/>
  </cols>
  <sheetData>
    <row r="7" ht="12.75">
      <c r="A7" t="s">
        <v>774</v>
      </c>
    </row>
    <row r="9" ht="15">
      <c r="A9" s="323" t="s">
        <v>775</v>
      </c>
    </row>
    <row r="11" spans="1:4" ht="30.75">
      <c r="A11" s="324" t="s">
        <v>776</v>
      </c>
      <c r="B11" s="421" t="s">
        <v>777</v>
      </c>
      <c r="C11" s="421"/>
      <c r="D11" s="324"/>
    </row>
    <row r="13" spans="1:6" ht="41.25">
      <c r="A13" s="325" t="s">
        <v>778</v>
      </c>
      <c r="B13" s="326" t="s">
        <v>779</v>
      </c>
      <c r="C13" s="422" t="s">
        <v>780</v>
      </c>
      <c r="D13" s="422"/>
      <c r="E13" s="327" t="s">
        <v>781</v>
      </c>
      <c r="F13" s="328" t="s">
        <v>626</v>
      </c>
    </row>
    <row r="14" spans="1:7" ht="12.75">
      <c r="A14" s="136" t="s">
        <v>782</v>
      </c>
      <c r="B14" s="329" t="s">
        <v>783</v>
      </c>
      <c r="C14" s="423" t="s">
        <v>1096</v>
      </c>
      <c r="D14" s="424"/>
      <c r="E14" s="330">
        <f>215*Головна!B132</f>
        <v>6063</v>
      </c>
      <c r="F14" s="331">
        <f>75.08*Головна!B132</f>
        <v>2117.256</v>
      </c>
      <c r="G14" s="332"/>
    </row>
    <row r="15" spans="1:7" ht="12.75">
      <c r="A15" s="425" t="s">
        <v>784</v>
      </c>
      <c r="B15" s="136" t="s">
        <v>785</v>
      </c>
      <c r="C15" s="428" t="s">
        <v>786</v>
      </c>
      <c r="D15" s="429"/>
      <c r="E15" s="430">
        <f>295*Головна!B132</f>
        <v>8319</v>
      </c>
      <c r="F15" s="425">
        <f>105.48*Головна!B132</f>
        <v>2974.536</v>
      </c>
      <c r="G15" s="332"/>
    </row>
    <row r="16" spans="1:6" ht="12.75">
      <c r="A16" s="426"/>
      <c r="B16" s="136" t="s">
        <v>787</v>
      </c>
      <c r="C16" s="428" t="s">
        <v>788</v>
      </c>
      <c r="D16" s="429"/>
      <c r="E16" s="431"/>
      <c r="F16" s="426"/>
    </row>
    <row r="17" spans="1:6" ht="12.75">
      <c r="A17" s="426"/>
      <c r="B17" s="329" t="s">
        <v>789</v>
      </c>
      <c r="C17" s="423" t="s">
        <v>790</v>
      </c>
      <c r="D17" s="424"/>
      <c r="E17" s="431"/>
      <c r="F17" s="426"/>
    </row>
    <row r="18" spans="1:6" ht="12.75">
      <c r="A18" s="426"/>
      <c r="B18" s="329" t="s">
        <v>791</v>
      </c>
      <c r="C18" s="423" t="s">
        <v>792</v>
      </c>
      <c r="D18" s="424"/>
      <c r="E18" s="431"/>
      <c r="F18" s="426"/>
    </row>
    <row r="19" spans="1:6" ht="12.75">
      <c r="A19" s="426"/>
      <c r="B19" s="136" t="s">
        <v>793</v>
      </c>
      <c r="C19" s="428" t="s">
        <v>794</v>
      </c>
      <c r="D19" s="429"/>
      <c r="E19" s="431"/>
      <c r="F19" s="426"/>
    </row>
    <row r="20" spans="1:6" ht="12.75">
      <c r="A20" s="426"/>
      <c r="B20" s="136" t="s">
        <v>795</v>
      </c>
      <c r="C20" s="428" t="s">
        <v>796</v>
      </c>
      <c r="D20" s="429"/>
      <c r="E20" s="431"/>
      <c r="F20" s="426"/>
    </row>
    <row r="21" spans="1:6" ht="12.75">
      <c r="A21" s="426"/>
      <c r="B21" s="136" t="s">
        <v>797</v>
      </c>
      <c r="C21" s="428" t="s">
        <v>798</v>
      </c>
      <c r="D21" s="429"/>
      <c r="E21" s="431"/>
      <c r="F21" s="426"/>
    </row>
    <row r="22" spans="1:6" ht="12.75">
      <c r="A22" s="426"/>
      <c r="B22" s="136" t="s">
        <v>799</v>
      </c>
      <c r="C22" s="428" t="s">
        <v>800</v>
      </c>
      <c r="D22" s="429"/>
      <c r="E22" s="431"/>
      <c r="F22" s="426"/>
    </row>
    <row r="23" spans="1:6" ht="12.75">
      <c r="A23" s="426"/>
      <c r="B23" s="136" t="s">
        <v>801</v>
      </c>
      <c r="C23" s="428" t="s">
        <v>802</v>
      </c>
      <c r="D23" s="429"/>
      <c r="E23" s="431"/>
      <c r="F23" s="426"/>
    </row>
    <row r="24" spans="1:6" ht="12.75">
      <c r="A24" s="426"/>
      <c r="B24" s="136" t="s">
        <v>803</v>
      </c>
      <c r="C24" s="428" t="s">
        <v>804</v>
      </c>
      <c r="D24" s="429"/>
      <c r="E24" s="431"/>
      <c r="F24" s="426"/>
    </row>
    <row r="25" spans="1:6" ht="12.75">
      <c r="A25" s="427"/>
      <c r="B25" s="136" t="s">
        <v>805</v>
      </c>
      <c r="C25" s="428" t="s">
        <v>806</v>
      </c>
      <c r="D25" s="429"/>
      <c r="E25" s="432"/>
      <c r="F25" s="427"/>
    </row>
    <row r="26" spans="1:6" ht="12.75">
      <c r="A26" s="433" t="s">
        <v>807</v>
      </c>
      <c r="B26" s="136" t="s">
        <v>808</v>
      </c>
      <c r="C26" s="428" t="s">
        <v>809</v>
      </c>
      <c r="D26" s="429"/>
      <c r="E26" s="430">
        <f>339*Головна!B132</f>
        <v>9559.8</v>
      </c>
      <c r="F26" s="425">
        <f>121.21*Головна!B132</f>
        <v>3418.122</v>
      </c>
    </row>
    <row r="27" spans="1:6" ht="12.75">
      <c r="A27" s="433"/>
      <c r="B27" s="136" t="s">
        <v>810</v>
      </c>
      <c r="C27" s="428" t="s">
        <v>811</v>
      </c>
      <c r="D27" s="429"/>
      <c r="E27" s="432"/>
      <c r="F27" s="427"/>
    </row>
    <row r="28" spans="1:6" ht="12.75">
      <c r="A28" s="434" t="s">
        <v>812</v>
      </c>
      <c r="B28" s="136" t="s">
        <v>813</v>
      </c>
      <c r="C28" s="428" t="s">
        <v>814</v>
      </c>
      <c r="D28" s="429"/>
      <c r="E28" s="430">
        <f>349*Головна!B132</f>
        <v>9841.8</v>
      </c>
      <c r="F28" s="425">
        <f>124.79*Головна!B132</f>
        <v>3519.078</v>
      </c>
    </row>
    <row r="29" spans="1:6" ht="12.75">
      <c r="A29" s="435"/>
      <c r="B29" s="136" t="s">
        <v>815</v>
      </c>
      <c r="C29" s="428" t="s">
        <v>816</v>
      </c>
      <c r="D29" s="429"/>
      <c r="E29" s="431"/>
      <c r="F29" s="426"/>
    </row>
    <row r="30" spans="1:6" ht="12.75">
      <c r="A30" s="435"/>
      <c r="B30" s="136" t="s">
        <v>817</v>
      </c>
      <c r="C30" s="428" t="s">
        <v>818</v>
      </c>
      <c r="D30" s="429"/>
      <c r="E30" s="431"/>
      <c r="F30" s="426"/>
    </row>
    <row r="31" spans="1:6" ht="12.75">
      <c r="A31" s="435"/>
      <c r="B31" s="136" t="s">
        <v>819</v>
      </c>
      <c r="C31" s="428" t="s">
        <v>820</v>
      </c>
      <c r="D31" s="429"/>
      <c r="E31" s="431"/>
      <c r="F31" s="426"/>
    </row>
    <row r="32" spans="1:6" ht="12.75">
      <c r="A32" s="435"/>
      <c r="B32" s="329" t="s">
        <v>821</v>
      </c>
      <c r="C32" s="423" t="s">
        <v>822</v>
      </c>
      <c r="D32" s="424"/>
      <c r="E32" s="431"/>
      <c r="F32" s="426"/>
    </row>
    <row r="33" spans="1:6" ht="12.75">
      <c r="A33" s="435"/>
      <c r="B33" s="329" t="s">
        <v>823</v>
      </c>
      <c r="C33" s="423" t="s">
        <v>824</v>
      </c>
      <c r="D33" s="424"/>
      <c r="E33" s="431"/>
      <c r="F33" s="426"/>
    </row>
    <row r="34" spans="1:6" ht="12.75">
      <c r="A34" s="436"/>
      <c r="B34" s="136" t="s">
        <v>825</v>
      </c>
      <c r="C34" s="428" t="s">
        <v>826</v>
      </c>
      <c r="D34" s="429"/>
      <c r="E34" s="432"/>
      <c r="F34" s="427"/>
    </row>
    <row r="35" spans="1:6" ht="12.75">
      <c r="A35" s="425" t="s">
        <v>827</v>
      </c>
      <c r="B35" s="329" t="s">
        <v>828</v>
      </c>
      <c r="C35" s="423" t="s">
        <v>829</v>
      </c>
      <c r="D35" s="424"/>
      <c r="E35" s="430">
        <f>349*Головна!B132</f>
        <v>9841.8</v>
      </c>
      <c r="F35" s="425">
        <f>124.79*Головна!B132</f>
        <v>3519.078</v>
      </c>
    </row>
    <row r="36" spans="1:6" ht="12.75">
      <c r="A36" s="426"/>
      <c r="B36" s="329" t="s">
        <v>830</v>
      </c>
      <c r="C36" s="423" t="s">
        <v>831</v>
      </c>
      <c r="D36" s="424"/>
      <c r="E36" s="431"/>
      <c r="F36" s="426"/>
    </row>
    <row r="37" spans="1:6" ht="12.75">
      <c r="A37" s="426"/>
      <c r="B37" s="329" t="s">
        <v>832</v>
      </c>
      <c r="C37" s="423" t="s">
        <v>833</v>
      </c>
      <c r="D37" s="424"/>
      <c r="E37" s="431"/>
      <c r="F37" s="426"/>
    </row>
    <row r="38" spans="1:6" ht="12.75">
      <c r="A38" s="426"/>
      <c r="B38" s="329" t="s">
        <v>834</v>
      </c>
      <c r="C38" s="423" t="s">
        <v>835</v>
      </c>
      <c r="D38" s="424"/>
      <c r="E38" s="431"/>
      <c r="F38" s="426"/>
    </row>
    <row r="39" spans="1:6" ht="12.75">
      <c r="A39" s="426"/>
      <c r="B39" s="329" t="s">
        <v>836</v>
      </c>
      <c r="C39" s="423" t="s">
        <v>837</v>
      </c>
      <c r="D39" s="424"/>
      <c r="E39" s="431"/>
      <c r="F39" s="426"/>
    </row>
    <row r="40" spans="1:6" ht="12.75">
      <c r="A40" s="427"/>
      <c r="B40" s="136" t="s">
        <v>838</v>
      </c>
      <c r="C40" s="428" t="s">
        <v>839</v>
      </c>
      <c r="D40" s="429"/>
      <c r="E40" s="432"/>
      <c r="F40" s="427"/>
    </row>
    <row r="41" spans="1:6" ht="12.75">
      <c r="A41" s="433" t="s">
        <v>840</v>
      </c>
      <c r="B41" s="136" t="s">
        <v>841</v>
      </c>
      <c r="C41" s="428" t="s">
        <v>842</v>
      </c>
      <c r="D41" s="429"/>
      <c r="E41" s="430">
        <f>349*Головна!B132</f>
        <v>9841.8</v>
      </c>
      <c r="F41" s="425">
        <f>124.79*Головна!B132</f>
        <v>3519.078</v>
      </c>
    </row>
    <row r="42" spans="1:6" ht="12.75">
      <c r="A42" s="433"/>
      <c r="B42" s="334" t="s">
        <v>843</v>
      </c>
      <c r="C42" s="423" t="s">
        <v>844</v>
      </c>
      <c r="D42" s="424"/>
      <c r="E42" s="431"/>
      <c r="F42" s="426"/>
    </row>
    <row r="43" spans="1:6" ht="12.75">
      <c r="A43" s="433"/>
      <c r="B43" s="329" t="s">
        <v>845</v>
      </c>
      <c r="C43" s="423" t="s">
        <v>846</v>
      </c>
      <c r="D43" s="424"/>
      <c r="E43" s="431"/>
      <c r="F43" s="426"/>
    </row>
    <row r="44" spans="1:6" ht="12.75">
      <c r="A44" s="433"/>
      <c r="B44" s="136" t="s">
        <v>847</v>
      </c>
      <c r="C44" s="428" t="s">
        <v>848</v>
      </c>
      <c r="D44" s="429"/>
      <c r="E44" s="431"/>
      <c r="F44" s="426"/>
    </row>
    <row r="45" spans="1:6" ht="12.75">
      <c r="A45" s="433"/>
      <c r="B45" s="136" t="s">
        <v>849</v>
      </c>
      <c r="C45" s="428" t="s">
        <v>850</v>
      </c>
      <c r="D45" s="429"/>
      <c r="E45" s="431"/>
      <c r="F45" s="426"/>
    </row>
    <row r="46" spans="1:6" ht="12.75">
      <c r="A46" s="433"/>
      <c r="B46" s="136" t="s">
        <v>851</v>
      </c>
      <c r="C46" s="428" t="s">
        <v>852</v>
      </c>
      <c r="D46" s="429"/>
      <c r="E46" s="431"/>
      <c r="F46" s="426"/>
    </row>
    <row r="47" spans="1:6" ht="12.75">
      <c r="A47" s="433"/>
      <c r="B47" s="136" t="s">
        <v>853</v>
      </c>
      <c r="C47" s="428" t="s">
        <v>854</v>
      </c>
      <c r="D47" s="429"/>
      <c r="E47" s="431"/>
      <c r="F47" s="426"/>
    </row>
    <row r="48" spans="1:6" ht="12.75">
      <c r="A48" s="433"/>
      <c r="B48" s="329" t="s">
        <v>855</v>
      </c>
      <c r="C48" s="423" t="s">
        <v>856</v>
      </c>
      <c r="D48" s="424"/>
      <c r="E48" s="431"/>
      <c r="F48" s="426"/>
    </row>
    <row r="49" spans="1:6" ht="12.75">
      <c r="A49" s="433"/>
      <c r="B49" s="329" t="s">
        <v>857</v>
      </c>
      <c r="C49" s="423" t="s">
        <v>858</v>
      </c>
      <c r="D49" s="424"/>
      <c r="E49" s="431"/>
      <c r="F49" s="426"/>
    </row>
    <row r="50" spans="1:6" ht="12.75">
      <c r="A50" s="433"/>
      <c r="B50" s="136" t="s">
        <v>859</v>
      </c>
      <c r="C50" s="428" t="s">
        <v>860</v>
      </c>
      <c r="D50" s="429"/>
      <c r="E50" s="431"/>
      <c r="F50" s="426"/>
    </row>
    <row r="51" spans="1:6" ht="12.75">
      <c r="A51" s="433"/>
      <c r="B51" s="136" t="s">
        <v>861</v>
      </c>
      <c r="C51" s="428" t="s">
        <v>862</v>
      </c>
      <c r="D51" s="429"/>
      <c r="E51" s="431"/>
      <c r="F51" s="426"/>
    </row>
    <row r="52" spans="1:6" ht="12.75">
      <c r="A52" s="433"/>
      <c r="B52" s="329" t="s">
        <v>863</v>
      </c>
      <c r="C52" s="423" t="s">
        <v>864</v>
      </c>
      <c r="D52" s="424"/>
      <c r="E52" s="431"/>
      <c r="F52" s="426"/>
    </row>
    <row r="53" spans="1:6" ht="12.75">
      <c r="A53" s="433"/>
      <c r="B53" s="329" t="s">
        <v>865</v>
      </c>
      <c r="C53" s="423" t="s">
        <v>866</v>
      </c>
      <c r="D53" s="424"/>
      <c r="E53" s="431"/>
      <c r="F53" s="426"/>
    </row>
    <row r="54" spans="1:6" ht="12.75">
      <c r="A54" s="433"/>
      <c r="B54" s="335" t="s">
        <v>867</v>
      </c>
      <c r="C54" s="437" t="s">
        <v>868</v>
      </c>
      <c r="D54" s="438"/>
      <c r="E54" s="431"/>
      <c r="F54" s="426"/>
    </row>
    <row r="55" spans="1:6" ht="12.75">
      <c r="A55" s="433"/>
      <c r="B55" s="136" t="s">
        <v>869</v>
      </c>
      <c r="C55" s="428" t="s">
        <v>870</v>
      </c>
      <c r="D55" s="429"/>
      <c r="E55" s="431"/>
      <c r="F55" s="426"/>
    </row>
    <row r="56" spans="1:6" ht="12.75">
      <c r="A56" s="433"/>
      <c r="B56" s="329" t="s">
        <v>871</v>
      </c>
      <c r="C56" s="423" t="s">
        <v>872</v>
      </c>
      <c r="D56" s="424"/>
      <c r="E56" s="431"/>
      <c r="F56" s="426"/>
    </row>
    <row r="57" spans="1:6" ht="12.75">
      <c r="A57" s="433"/>
      <c r="B57" s="329" t="s">
        <v>873</v>
      </c>
      <c r="C57" s="423" t="s">
        <v>874</v>
      </c>
      <c r="D57" s="424"/>
      <c r="E57" s="431"/>
      <c r="F57" s="426"/>
    </row>
    <row r="58" spans="1:6" ht="12.75">
      <c r="A58" s="433"/>
      <c r="B58" s="136" t="s">
        <v>875</v>
      </c>
      <c r="C58" s="428" t="s">
        <v>876</v>
      </c>
      <c r="D58" s="429"/>
      <c r="E58" s="431"/>
      <c r="F58" s="426"/>
    </row>
    <row r="59" spans="1:6" ht="12.75">
      <c r="A59" s="433"/>
      <c r="B59" s="136" t="s">
        <v>877</v>
      </c>
      <c r="C59" s="428" t="s">
        <v>878</v>
      </c>
      <c r="D59" s="429"/>
      <c r="E59" s="431"/>
      <c r="F59" s="426"/>
    </row>
    <row r="60" spans="1:6" ht="12.75">
      <c r="A60" s="433"/>
      <c r="B60" s="136" t="s">
        <v>879</v>
      </c>
      <c r="C60" s="428" t="s">
        <v>880</v>
      </c>
      <c r="D60" s="429"/>
      <c r="E60" s="431"/>
      <c r="F60" s="426"/>
    </row>
    <row r="61" spans="1:6" ht="12.75">
      <c r="A61" s="433"/>
      <c r="B61" s="136" t="s">
        <v>881</v>
      </c>
      <c r="C61" s="428" t="s">
        <v>882</v>
      </c>
      <c r="D61" s="429"/>
      <c r="E61" s="431"/>
      <c r="F61" s="426"/>
    </row>
    <row r="62" spans="1:6" ht="12.75">
      <c r="A62" s="433"/>
      <c r="B62" s="136" t="s">
        <v>883</v>
      </c>
      <c r="C62" s="428" t="s">
        <v>884</v>
      </c>
      <c r="D62" s="429"/>
      <c r="E62" s="431"/>
      <c r="F62" s="426"/>
    </row>
    <row r="63" spans="1:6" ht="12.75">
      <c r="A63" s="433"/>
      <c r="B63" s="329" t="s">
        <v>885</v>
      </c>
      <c r="C63" s="423" t="s">
        <v>886</v>
      </c>
      <c r="D63" s="424"/>
      <c r="E63" s="431"/>
      <c r="F63" s="426"/>
    </row>
    <row r="64" spans="1:6" ht="12.75">
      <c r="A64" s="433"/>
      <c r="B64" s="136" t="s">
        <v>887</v>
      </c>
      <c r="C64" s="428" t="s">
        <v>888</v>
      </c>
      <c r="D64" s="429"/>
      <c r="E64" s="431"/>
      <c r="F64" s="426"/>
    </row>
    <row r="65" spans="1:6" ht="12.75">
      <c r="A65" s="433"/>
      <c r="B65" s="136" t="s">
        <v>889</v>
      </c>
      <c r="C65" s="428" t="s">
        <v>890</v>
      </c>
      <c r="D65" s="429"/>
      <c r="E65" s="431"/>
      <c r="F65" s="426"/>
    </row>
    <row r="66" spans="1:6" ht="12.75">
      <c r="A66" s="433"/>
      <c r="B66" s="136" t="s">
        <v>891</v>
      </c>
      <c r="C66" s="428" t="s">
        <v>892</v>
      </c>
      <c r="D66" s="429"/>
      <c r="E66" s="431"/>
      <c r="F66" s="426"/>
    </row>
    <row r="67" spans="1:6" ht="12.75">
      <c r="A67" s="433"/>
      <c r="B67" s="136" t="s">
        <v>893</v>
      </c>
      <c r="C67" s="428" t="s">
        <v>894</v>
      </c>
      <c r="D67" s="429"/>
      <c r="E67" s="431"/>
      <c r="F67" s="426"/>
    </row>
    <row r="68" spans="1:6" ht="12.75">
      <c r="A68" s="433"/>
      <c r="B68" s="136" t="s">
        <v>895</v>
      </c>
      <c r="C68" s="428" t="s">
        <v>896</v>
      </c>
      <c r="D68" s="429"/>
      <c r="E68" s="431"/>
      <c r="F68" s="426"/>
    </row>
    <row r="69" spans="1:6" ht="12.75">
      <c r="A69" s="433"/>
      <c r="B69" s="136" t="s">
        <v>897</v>
      </c>
      <c r="C69" s="428" t="s">
        <v>898</v>
      </c>
      <c r="D69" s="429"/>
      <c r="E69" s="431"/>
      <c r="F69" s="426"/>
    </row>
    <row r="70" spans="1:6" ht="12.75">
      <c r="A70" s="433"/>
      <c r="B70" s="136" t="s">
        <v>899</v>
      </c>
      <c r="C70" s="428" t="s">
        <v>900</v>
      </c>
      <c r="D70" s="429"/>
      <c r="E70" s="431"/>
      <c r="F70" s="426"/>
    </row>
    <row r="71" spans="1:6" ht="12.75">
      <c r="A71" s="433"/>
      <c r="B71" s="136" t="s">
        <v>901</v>
      </c>
      <c r="C71" s="428" t="s">
        <v>902</v>
      </c>
      <c r="D71" s="429"/>
      <c r="E71" s="431"/>
      <c r="F71" s="426"/>
    </row>
    <row r="72" spans="1:6" ht="12.75">
      <c r="A72" s="433"/>
      <c r="B72" s="329" t="s">
        <v>903</v>
      </c>
      <c r="C72" s="423" t="s">
        <v>904</v>
      </c>
      <c r="D72" s="424"/>
      <c r="E72" s="431"/>
      <c r="F72" s="426"/>
    </row>
    <row r="73" spans="1:6" ht="12.75">
      <c r="A73" s="433"/>
      <c r="B73" s="136" t="s">
        <v>905</v>
      </c>
      <c r="C73" s="428" t="s">
        <v>906</v>
      </c>
      <c r="D73" s="429"/>
      <c r="E73" s="432"/>
      <c r="F73" s="427"/>
    </row>
    <row r="74" spans="1:6" ht="12.75">
      <c r="A74" s="433" t="s">
        <v>907</v>
      </c>
      <c r="B74" s="329" t="s">
        <v>908</v>
      </c>
      <c r="C74" s="423" t="s">
        <v>909</v>
      </c>
      <c r="D74" s="424"/>
      <c r="E74" s="430">
        <f>415*Головна!B132</f>
        <v>11703</v>
      </c>
      <c r="F74" s="425">
        <f>148.38*Головна!B132</f>
        <v>4184.316</v>
      </c>
    </row>
    <row r="75" spans="1:6" ht="12.75">
      <c r="A75" s="433"/>
      <c r="B75" s="136" t="s">
        <v>910</v>
      </c>
      <c r="C75" s="428" t="s">
        <v>911</v>
      </c>
      <c r="D75" s="429"/>
      <c r="E75" s="431"/>
      <c r="F75" s="426"/>
    </row>
    <row r="76" spans="1:6" ht="12.75">
      <c r="A76" s="433"/>
      <c r="B76" s="136" t="s">
        <v>912</v>
      </c>
      <c r="C76" s="428" t="s">
        <v>913</v>
      </c>
      <c r="D76" s="429"/>
      <c r="E76" s="431"/>
      <c r="F76" s="426"/>
    </row>
    <row r="77" spans="1:6" ht="12.75">
      <c r="A77" s="433"/>
      <c r="B77" s="136" t="s">
        <v>914</v>
      </c>
      <c r="C77" s="428" t="s">
        <v>915</v>
      </c>
      <c r="D77" s="429"/>
      <c r="E77" s="431"/>
      <c r="F77" s="426"/>
    </row>
    <row r="78" spans="1:6" ht="12.75">
      <c r="A78" s="433"/>
      <c r="B78" s="136" t="s">
        <v>916</v>
      </c>
      <c r="C78" s="428" t="s">
        <v>917</v>
      </c>
      <c r="D78" s="429"/>
      <c r="E78" s="431"/>
      <c r="F78" s="426"/>
    </row>
    <row r="79" spans="1:6" ht="12.75">
      <c r="A79" s="433"/>
      <c r="B79" s="329" t="s">
        <v>918</v>
      </c>
      <c r="C79" s="423" t="s">
        <v>919</v>
      </c>
      <c r="D79" s="424"/>
      <c r="E79" s="431"/>
      <c r="F79" s="426"/>
    </row>
    <row r="80" spans="1:6" ht="12.75">
      <c r="A80" s="433"/>
      <c r="B80" s="136" t="s">
        <v>920</v>
      </c>
      <c r="C80" s="428" t="s">
        <v>921</v>
      </c>
      <c r="D80" s="429"/>
      <c r="E80" s="431"/>
      <c r="F80" s="426"/>
    </row>
    <row r="81" spans="1:6" ht="12.75">
      <c r="A81" s="433"/>
      <c r="B81" s="136" t="s">
        <v>922</v>
      </c>
      <c r="C81" s="428" t="s">
        <v>923</v>
      </c>
      <c r="D81" s="429"/>
      <c r="E81" s="432"/>
      <c r="F81" s="427"/>
    </row>
    <row r="82" spans="1:6" ht="12.75">
      <c r="A82" s="433" t="s">
        <v>924</v>
      </c>
      <c r="B82" s="136" t="s">
        <v>925</v>
      </c>
      <c r="C82" s="428" t="s">
        <v>926</v>
      </c>
      <c r="D82" s="429"/>
      <c r="E82" s="430">
        <f>490*Головна!B132</f>
        <v>13818</v>
      </c>
      <c r="F82" s="425">
        <f>175.2*Головна!B132</f>
        <v>4940.639999999999</v>
      </c>
    </row>
    <row r="83" spans="1:6" ht="12.75">
      <c r="A83" s="433"/>
      <c r="B83" s="136" t="s">
        <v>927</v>
      </c>
      <c r="C83" s="428" t="s">
        <v>928</v>
      </c>
      <c r="D83" s="429"/>
      <c r="E83" s="431"/>
      <c r="F83" s="426"/>
    </row>
    <row r="84" spans="1:6" ht="12.75">
      <c r="A84" s="433"/>
      <c r="B84" s="329" t="s">
        <v>929</v>
      </c>
      <c r="C84" s="423" t="s">
        <v>930</v>
      </c>
      <c r="D84" s="424"/>
      <c r="E84" s="431"/>
      <c r="F84" s="426"/>
    </row>
    <row r="85" spans="1:6" ht="12.75">
      <c r="A85" s="433"/>
      <c r="B85" s="136" t="s">
        <v>931</v>
      </c>
      <c r="C85" s="428" t="s">
        <v>932</v>
      </c>
      <c r="D85" s="429"/>
      <c r="E85" s="431"/>
      <c r="F85" s="426"/>
    </row>
    <row r="86" spans="1:6" ht="12.75">
      <c r="A86" s="425" t="s">
        <v>933</v>
      </c>
      <c r="B86" s="329" t="s">
        <v>934</v>
      </c>
      <c r="C86" s="423" t="s">
        <v>935</v>
      </c>
      <c r="D86" s="424"/>
      <c r="E86" s="430">
        <f>528*Головна!B132</f>
        <v>14889.6</v>
      </c>
      <c r="F86" s="425">
        <f>188.79*Головна!B132</f>
        <v>5323.878</v>
      </c>
    </row>
    <row r="87" spans="1:6" ht="12.75">
      <c r="A87" s="426"/>
      <c r="B87" s="329" t="s">
        <v>936</v>
      </c>
      <c r="C87" s="423" t="s">
        <v>937</v>
      </c>
      <c r="D87" s="424"/>
      <c r="E87" s="431"/>
      <c r="F87" s="426"/>
    </row>
    <row r="88" spans="1:6" ht="12.75">
      <c r="A88" s="426"/>
      <c r="B88" s="136" t="s">
        <v>938</v>
      </c>
      <c r="C88" s="428" t="s">
        <v>939</v>
      </c>
      <c r="D88" s="429"/>
      <c r="E88" s="431"/>
      <c r="F88" s="426"/>
    </row>
    <row r="89" spans="1:6" ht="12.75">
      <c r="A89" s="426"/>
      <c r="B89" s="329" t="s">
        <v>940</v>
      </c>
      <c r="C89" s="423" t="s">
        <v>941</v>
      </c>
      <c r="D89" s="424"/>
      <c r="E89" s="431"/>
      <c r="F89" s="426"/>
    </row>
    <row r="90" spans="1:6" ht="12.75">
      <c r="A90" s="426"/>
      <c r="B90" s="329" t="s">
        <v>942</v>
      </c>
      <c r="C90" s="423" t="s">
        <v>943</v>
      </c>
      <c r="D90" s="424"/>
      <c r="E90" s="431"/>
      <c r="F90" s="426"/>
    </row>
    <row r="91" spans="1:6" ht="12.75">
      <c r="A91" s="426"/>
      <c r="B91" s="329" t="s">
        <v>944</v>
      </c>
      <c r="C91" s="423" t="s">
        <v>945</v>
      </c>
      <c r="D91" s="424"/>
      <c r="E91" s="431"/>
      <c r="F91" s="426"/>
    </row>
    <row r="92" spans="1:6" ht="12.75">
      <c r="A92" s="426"/>
      <c r="B92" s="329" t="s">
        <v>946</v>
      </c>
      <c r="C92" s="423" t="s">
        <v>947</v>
      </c>
      <c r="D92" s="424"/>
      <c r="E92" s="431"/>
      <c r="F92" s="426"/>
    </row>
    <row r="93" spans="1:6" ht="12.75">
      <c r="A93" s="426"/>
      <c r="B93" s="329" t="s">
        <v>948</v>
      </c>
      <c r="C93" s="423" t="s">
        <v>949</v>
      </c>
      <c r="D93" s="424"/>
      <c r="E93" s="431"/>
      <c r="F93" s="426"/>
    </row>
    <row r="94" spans="1:6" ht="12.75">
      <c r="A94" s="426"/>
      <c r="B94" s="136" t="s">
        <v>950</v>
      </c>
      <c r="C94" s="428" t="s">
        <v>951</v>
      </c>
      <c r="D94" s="429"/>
      <c r="E94" s="431"/>
      <c r="F94" s="426"/>
    </row>
    <row r="95" spans="1:6" ht="12.75">
      <c r="A95" s="426"/>
      <c r="B95" s="329" t="s">
        <v>952</v>
      </c>
      <c r="C95" s="423" t="s">
        <v>953</v>
      </c>
      <c r="D95" s="424"/>
      <c r="E95" s="431"/>
      <c r="F95" s="426"/>
    </row>
    <row r="96" spans="1:6" ht="12.75">
      <c r="A96" s="426"/>
      <c r="B96" s="136" t="s">
        <v>954</v>
      </c>
      <c r="C96" s="428" t="s">
        <v>955</v>
      </c>
      <c r="D96" s="429"/>
      <c r="E96" s="431"/>
      <c r="F96" s="426"/>
    </row>
    <row r="97" spans="1:6" ht="12.75">
      <c r="A97" s="426"/>
      <c r="B97" s="329" t="s">
        <v>956</v>
      </c>
      <c r="C97" s="423" t="s">
        <v>957</v>
      </c>
      <c r="D97" s="424"/>
      <c r="E97" s="431"/>
      <c r="F97" s="426"/>
    </row>
    <row r="98" spans="1:6" ht="12.75">
      <c r="A98" s="426"/>
      <c r="B98" s="136" t="s">
        <v>958</v>
      </c>
      <c r="C98" s="428" t="s">
        <v>959</v>
      </c>
      <c r="D98" s="429"/>
      <c r="E98" s="431"/>
      <c r="F98" s="426"/>
    </row>
    <row r="99" spans="1:6" ht="12.75">
      <c r="A99" s="426"/>
      <c r="B99" s="136" t="s">
        <v>960</v>
      </c>
      <c r="C99" s="428" t="s">
        <v>961</v>
      </c>
      <c r="D99" s="429"/>
      <c r="E99" s="431"/>
      <c r="F99" s="426"/>
    </row>
    <row r="100" spans="1:6" ht="12.75">
      <c r="A100" s="426"/>
      <c r="B100" s="136" t="s">
        <v>962</v>
      </c>
      <c r="C100" s="428" t="s">
        <v>963</v>
      </c>
      <c r="D100" s="429"/>
      <c r="E100" s="431"/>
      <c r="F100" s="426"/>
    </row>
    <row r="101" spans="1:6" ht="12.75">
      <c r="A101" s="426"/>
      <c r="B101" s="136" t="s">
        <v>964</v>
      </c>
      <c r="C101" s="428" t="s">
        <v>965</v>
      </c>
      <c r="D101" s="429"/>
      <c r="E101" s="431"/>
      <c r="F101" s="426"/>
    </row>
    <row r="102" spans="1:6" ht="12.75">
      <c r="A102" s="426"/>
      <c r="B102" s="329" t="s">
        <v>966</v>
      </c>
      <c r="C102" s="423" t="s">
        <v>967</v>
      </c>
      <c r="D102" s="424"/>
      <c r="E102" s="431"/>
      <c r="F102" s="426"/>
    </row>
    <row r="103" spans="1:6" ht="12.75">
      <c r="A103" s="426"/>
      <c r="B103" s="136" t="s">
        <v>968</v>
      </c>
      <c r="C103" s="428" t="s">
        <v>969</v>
      </c>
      <c r="D103" s="429"/>
      <c r="E103" s="431"/>
      <c r="F103" s="426"/>
    </row>
    <row r="104" spans="1:6" ht="12.75">
      <c r="A104" s="426"/>
      <c r="B104" s="136" t="s">
        <v>970</v>
      </c>
      <c r="C104" s="428" t="s">
        <v>971</v>
      </c>
      <c r="D104" s="429"/>
      <c r="E104" s="431"/>
      <c r="F104" s="426"/>
    </row>
    <row r="105" spans="1:6" ht="12.75">
      <c r="A105" s="426"/>
      <c r="B105" s="136" t="s">
        <v>972</v>
      </c>
      <c r="C105" s="428" t="s">
        <v>973</v>
      </c>
      <c r="D105" s="429"/>
      <c r="E105" s="431"/>
      <c r="F105" s="426"/>
    </row>
    <row r="106" spans="1:6" ht="12.75">
      <c r="A106" s="426"/>
      <c r="B106" s="136" t="s">
        <v>974</v>
      </c>
      <c r="C106" s="428" t="s">
        <v>975</v>
      </c>
      <c r="D106" s="429"/>
      <c r="E106" s="431"/>
      <c r="F106" s="426"/>
    </row>
    <row r="107" spans="1:6" ht="12.75">
      <c r="A107" s="426"/>
      <c r="B107" s="136" t="s">
        <v>976</v>
      </c>
      <c r="C107" s="428" t="s">
        <v>977</v>
      </c>
      <c r="D107" s="429"/>
      <c r="E107" s="431"/>
      <c r="F107" s="426"/>
    </row>
    <row r="108" spans="1:6" ht="12.75">
      <c r="A108" s="426"/>
      <c r="B108" s="136" t="s">
        <v>978</v>
      </c>
      <c r="C108" s="428" t="s">
        <v>979</v>
      </c>
      <c r="D108" s="429"/>
      <c r="E108" s="431"/>
      <c r="F108" s="426"/>
    </row>
    <row r="109" spans="1:6" ht="12.75">
      <c r="A109" s="426"/>
      <c r="B109" s="136" t="s">
        <v>980</v>
      </c>
      <c r="C109" s="428" t="s">
        <v>981</v>
      </c>
      <c r="D109" s="429"/>
      <c r="E109" s="431"/>
      <c r="F109" s="426"/>
    </row>
    <row r="110" spans="1:6" ht="12.75">
      <c r="A110" s="426"/>
      <c r="B110" s="136" t="s">
        <v>982</v>
      </c>
      <c r="C110" s="428" t="s">
        <v>983</v>
      </c>
      <c r="D110" s="429"/>
      <c r="E110" s="431"/>
      <c r="F110" s="426"/>
    </row>
    <row r="111" spans="1:6" ht="12.75">
      <c r="A111" s="426"/>
      <c r="B111" s="136" t="s">
        <v>984</v>
      </c>
      <c r="C111" s="428" t="s">
        <v>985</v>
      </c>
      <c r="D111" s="429"/>
      <c r="E111" s="431"/>
      <c r="F111" s="426"/>
    </row>
    <row r="112" spans="1:6" ht="12.75">
      <c r="A112" s="427"/>
      <c r="B112" s="136" t="s">
        <v>986</v>
      </c>
      <c r="C112" s="428" t="s">
        <v>987</v>
      </c>
      <c r="D112" s="429"/>
      <c r="E112" s="432"/>
      <c r="F112" s="427"/>
    </row>
    <row r="113" spans="1:6" ht="12.75">
      <c r="A113" s="433" t="s">
        <v>988</v>
      </c>
      <c r="B113" s="136" t="s">
        <v>989</v>
      </c>
      <c r="C113" s="428" t="s">
        <v>990</v>
      </c>
      <c r="D113" s="429"/>
      <c r="E113" s="430">
        <f>528*Головна!B132</f>
        <v>14889.6</v>
      </c>
      <c r="F113" s="425">
        <f>188.79*Головна!B132</f>
        <v>5323.878</v>
      </c>
    </row>
    <row r="114" spans="1:6" ht="12.75">
      <c r="A114" s="433"/>
      <c r="B114" s="329" t="s">
        <v>991</v>
      </c>
      <c r="C114" s="423" t="s">
        <v>992</v>
      </c>
      <c r="D114" s="424"/>
      <c r="E114" s="431"/>
      <c r="F114" s="426"/>
    </row>
    <row r="115" spans="1:6" ht="12.75">
      <c r="A115" s="433"/>
      <c r="B115" s="136" t="s">
        <v>993</v>
      </c>
      <c r="C115" s="428" t="s">
        <v>994</v>
      </c>
      <c r="D115" s="429"/>
      <c r="E115" s="431"/>
      <c r="F115" s="426"/>
    </row>
    <row r="116" spans="1:6" ht="12.75">
      <c r="A116" s="433"/>
      <c r="B116" s="329" t="s">
        <v>995</v>
      </c>
      <c r="C116" s="423" t="s">
        <v>996</v>
      </c>
      <c r="D116" s="424"/>
      <c r="E116" s="432"/>
      <c r="F116" s="427"/>
    </row>
    <row r="117" spans="1:6" ht="12.75">
      <c r="A117" s="136" t="s">
        <v>997</v>
      </c>
      <c r="B117" s="136" t="s">
        <v>998</v>
      </c>
      <c r="C117" s="439" t="s">
        <v>999</v>
      </c>
      <c r="D117" s="439"/>
      <c r="E117" s="330">
        <f>566*Головна!B132</f>
        <v>15961.199999999999</v>
      </c>
      <c r="F117" s="333">
        <f>202.37*Головна!B132</f>
        <v>5706.834</v>
      </c>
    </row>
    <row r="119" ht="13.5">
      <c r="A119" s="336" t="s">
        <v>1000</v>
      </c>
    </row>
    <row r="120" spans="1:4" ht="13.5">
      <c r="A120" s="336" t="s">
        <v>1001</v>
      </c>
      <c r="B120" s="336"/>
      <c r="C120" s="336"/>
      <c r="D120" s="336"/>
    </row>
    <row r="121" spans="1:4" ht="13.5">
      <c r="A121" s="336" t="s">
        <v>1002</v>
      </c>
      <c r="B121" s="336"/>
      <c r="C121" s="336"/>
      <c r="D121" s="336"/>
    </row>
    <row r="123" spans="1:7" ht="15">
      <c r="A123" s="440" t="s">
        <v>1003</v>
      </c>
      <c r="B123" s="440"/>
      <c r="C123" s="440"/>
      <c r="D123" s="440"/>
      <c r="E123" s="440"/>
      <c r="F123" s="440"/>
      <c r="G123" s="440"/>
    </row>
    <row r="124" spans="1:7" ht="17.25">
      <c r="A124" s="40"/>
      <c r="B124" s="40"/>
      <c r="C124" s="40"/>
      <c r="D124" s="337" t="s">
        <v>280</v>
      </c>
      <c r="E124" s="17"/>
      <c r="F124" s="17"/>
      <c r="G124" s="17"/>
    </row>
    <row r="125" spans="1:7" ht="21" customHeight="1">
      <c r="A125" s="441" t="s">
        <v>1004</v>
      </c>
      <c r="B125" s="442"/>
      <c r="C125" s="443"/>
      <c r="D125" s="338">
        <f>8.5*Головна!B132</f>
        <v>239.7</v>
      </c>
      <c r="E125" s="18"/>
      <c r="F125" s="19"/>
      <c r="G125" s="20"/>
    </row>
    <row r="126" spans="1:7" ht="23.25" customHeight="1">
      <c r="A126" s="444" t="s">
        <v>1005</v>
      </c>
      <c r="B126" s="445"/>
      <c r="C126" s="446"/>
      <c r="D126" s="339">
        <f>42*Головна!B132</f>
        <v>1184.3999999999999</v>
      </c>
      <c r="E126" s="18"/>
      <c r="F126" s="19"/>
      <c r="G126" s="20"/>
    </row>
    <row r="127" spans="1:7" ht="12.75">
      <c r="A127" s="447" t="s">
        <v>299</v>
      </c>
      <c r="B127" s="448"/>
      <c r="C127" s="449"/>
      <c r="D127" s="339">
        <f>1*Головна!B132</f>
        <v>28.2</v>
      </c>
      <c r="E127" s="18"/>
      <c r="F127" s="16"/>
      <c r="G127" s="16"/>
    </row>
  </sheetData>
  <sheetProtection/>
  <mergeCells count="137">
    <mergeCell ref="C117:D117"/>
    <mergeCell ref="A123:G123"/>
    <mergeCell ref="A125:C125"/>
    <mergeCell ref="A126:C126"/>
    <mergeCell ref="A127:C127"/>
    <mergeCell ref="A113:A116"/>
    <mergeCell ref="C113:D113"/>
    <mergeCell ref="E113:E116"/>
    <mergeCell ref="F113:F116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F82:F85"/>
    <mergeCell ref="C83:D83"/>
    <mergeCell ref="C84:D84"/>
    <mergeCell ref="C85:D85"/>
    <mergeCell ref="A86:A112"/>
    <mergeCell ref="C86:D86"/>
    <mergeCell ref="E86:E112"/>
    <mergeCell ref="F86:F112"/>
    <mergeCell ref="C87:D87"/>
    <mergeCell ref="C88:D88"/>
    <mergeCell ref="C79:D79"/>
    <mergeCell ref="C80:D80"/>
    <mergeCell ref="C81:D81"/>
    <mergeCell ref="A82:A85"/>
    <mergeCell ref="C82:D82"/>
    <mergeCell ref="E82:E85"/>
    <mergeCell ref="C72:D72"/>
    <mergeCell ref="C73:D73"/>
    <mergeCell ref="A74:A81"/>
    <mergeCell ref="C74:D74"/>
    <mergeCell ref="E74:E81"/>
    <mergeCell ref="F74:F81"/>
    <mergeCell ref="C75:D75"/>
    <mergeCell ref="C76:D76"/>
    <mergeCell ref="C77:D77"/>
    <mergeCell ref="C78:D78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A41:A73"/>
    <mergeCell ref="C41:D41"/>
    <mergeCell ref="E41:E73"/>
    <mergeCell ref="F41:F73"/>
    <mergeCell ref="C42:D42"/>
    <mergeCell ref="C43:D43"/>
    <mergeCell ref="C44:D44"/>
    <mergeCell ref="C45:D45"/>
    <mergeCell ref="C46:D46"/>
    <mergeCell ref="C47:D47"/>
    <mergeCell ref="E35:E40"/>
    <mergeCell ref="F35:F40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A35:A40"/>
    <mergeCell ref="C35:D35"/>
    <mergeCell ref="A26:A27"/>
    <mergeCell ref="C26:D26"/>
    <mergeCell ref="E26:E27"/>
    <mergeCell ref="F26:F27"/>
    <mergeCell ref="C27:D27"/>
    <mergeCell ref="A28:A34"/>
    <mergeCell ref="C28:D28"/>
    <mergeCell ref="E28:E34"/>
    <mergeCell ref="F28:F34"/>
    <mergeCell ref="C29:D29"/>
    <mergeCell ref="F15:F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11:C11"/>
    <mergeCell ref="C13:D13"/>
    <mergeCell ref="C14:D14"/>
    <mergeCell ref="A15:A25"/>
    <mergeCell ref="C15:D15"/>
    <mergeCell ref="E15:E25"/>
    <mergeCell ref="C25:D2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S9" sqref="S9"/>
    </sheetView>
  </sheetViews>
  <sheetFormatPr defaultColWidth="9.00390625" defaultRowHeight="12.75"/>
  <cols>
    <col min="2" max="2" width="19.625" style="0" customWidth="1"/>
    <col min="3" max="3" width="19.875" style="0" bestFit="1" customWidth="1"/>
    <col min="5" max="5" width="15.875" style="0" customWidth="1"/>
  </cols>
  <sheetData>
    <row r="1" ht="12.75">
      <c r="A1" s="142"/>
    </row>
    <row r="2" ht="12.75">
      <c r="A2" s="142"/>
    </row>
    <row r="3" ht="12.75">
      <c r="A3" s="142"/>
    </row>
    <row r="4" ht="12.75">
      <c r="A4" s="142"/>
    </row>
    <row r="5" ht="12.75">
      <c r="A5" s="142"/>
    </row>
    <row r="6" spans="1:6" ht="23.25">
      <c r="A6" s="142"/>
      <c r="E6" s="250"/>
      <c r="F6" s="250"/>
    </row>
    <row r="7" spans="1:6" ht="23.25">
      <c r="A7" s="74" t="s">
        <v>304</v>
      </c>
      <c r="B7" s="74"/>
      <c r="C7" s="74"/>
      <c r="D7" s="74"/>
      <c r="E7" s="250"/>
      <c r="F7" s="250"/>
    </row>
    <row r="8" spans="1:6" ht="23.25" thickBot="1">
      <c r="A8" s="74"/>
      <c r="B8" s="74"/>
      <c r="C8" s="74"/>
      <c r="D8" s="74"/>
      <c r="E8" s="250"/>
      <c r="F8" s="250"/>
    </row>
    <row r="9" spans="1:4" ht="13.5" thickBot="1">
      <c r="A9" s="363" t="s">
        <v>319</v>
      </c>
      <c r="B9" s="363" t="s">
        <v>779</v>
      </c>
      <c r="C9" s="363" t="s">
        <v>1071</v>
      </c>
      <c r="D9" s="364"/>
    </row>
    <row r="10" spans="1:4" ht="12.75">
      <c r="A10" s="668" t="s">
        <v>1072</v>
      </c>
      <c r="B10" s="365" t="s">
        <v>1073</v>
      </c>
      <c r="C10" s="366">
        <f>168.610464*Головна!B131</f>
        <v>5715.8947296</v>
      </c>
      <c r="D10" s="367"/>
    </row>
    <row r="11" spans="1:4" ht="12.75">
      <c r="A11" s="669"/>
      <c r="B11" s="365" t="s">
        <v>1074</v>
      </c>
      <c r="C11" s="366">
        <f>168.610464*Головна!$B$131</f>
        <v>5715.8947296</v>
      </c>
      <c r="D11" s="367"/>
    </row>
    <row r="12" spans="1:4" ht="12.75">
      <c r="A12" s="669"/>
      <c r="B12" s="365" t="s">
        <v>1075</v>
      </c>
      <c r="C12" s="366">
        <f>187.593648*Головна!$B$131</f>
        <v>6359.4246672</v>
      </c>
      <c r="D12" s="194"/>
    </row>
    <row r="13" spans="1:4" ht="19.5" customHeight="1">
      <c r="A13" s="669"/>
      <c r="B13" s="368" t="s">
        <v>1076</v>
      </c>
      <c r="C13" s="366">
        <f>187.593648*Головна!$B$131</f>
        <v>6359.4246672</v>
      </c>
      <c r="D13" s="203"/>
    </row>
    <row r="14" spans="1:4" ht="14.25" thickBot="1">
      <c r="A14" s="145"/>
      <c r="B14" s="369"/>
      <c r="C14" s="370"/>
      <c r="D14" s="203"/>
    </row>
    <row r="15" spans="1:4" ht="12.75">
      <c r="A15" s="670" t="s">
        <v>1077</v>
      </c>
      <c r="B15" s="371" t="s">
        <v>1078</v>
      </c>
      <c r="C15" s="366">
        <f>187.593648*Головна!$B$131</f>
        <v>6359.4246672</v>
      </c>
      <c r="D15" s="203"/>
    </row>
    <row r="16" spans="1:4" ht="12.75">
      <c r="A16" s="671"/>
      <c r="B16" s="365" t="s">
        <v>1079</v>
      </c>
      <c r="C16" s="366">
        <f>187.593648*Головна!$B$131</f>
        <v>6359.4246672</v>
      </c>
      <c r="D16" s="203"/>
    </row>
    <row r="17" spans="1:3" ht="12.75">
      <c r="A17" s="671"/>
      <c r="B17" s="365" t="s">
        <v>1080</v>
      </c>
      <c r="C17" s="366">
        <f>187.593648*Головна!$B$131</f>
        <v>6359.4246672</v>
      </c>
    </row>
    <row r="18" spans="1:3" ht="12.75">
      <c r="A18" s="671"/>
      <c r="B18" s="365" t="s">
        <v>1081</v>
      </c>
      <c r="C18" s="366">
        <f>187.593648*Головна!$B$131</f>
        <v>6359.4246672</v>
      </c>
    </row>
    <row r="19" spans="1:3" ht="12.75">
      <c r="A19" s="672"/>
      <c r="B19" s="365" t="s">
        <v>1082</v>
      </c>
      <c r="C19" s="372">
        <f>201.12642*Головна!$B$131</f>
        <v>6818.185638</v>
      </c>
    </row>
    <row r="20" spans="1:3" ht="14.25" thickBot="1">
      <c r="A20" s="145"/>
      <c r="B20" s="373"/>
      <c r="C20" s="374"/>
    </row>
    <row r="21" spans="1:3" ht="12.75">
      <c r="A21" s="670" t="s">
        <v>1083</v>
      </c>
      <c r="B21" s="365" t="s">
        <v>1084</v>
      </c>
      <c r="C21" s="366">
        <f>131.970432*Головна!$B$131</f>
        <v>4473.797644799999</v>
      </c>
    </row>
    <row r="22" spans="1:3" ht="12.75">
      <c r="A22" s="671"/>
      <c r="B22" s="365" t="s">
        <v>1085</v>
      </c>
      <c r="C22" s="366">
        <f>104.697648*Головна!$B$131</f>
        <v>3549.2502672</v>
      </c>
    </row>
    <row r="23" spans="1:3" ht="12.75">
      <c r="A23" s="671"/>
      <c r="B23" s="365" t="s">
        <v>1086</v>
      </c>
      <c r="C23" s="366">
        <f>104.697648*Головна!$B$131</f>
        <v>3549.2502672</v>
      </c>
    </row>
    <row r="24" spans="1:3" ht="12.75">
      <c r="A24" s="671"/>
      <c r="B24" s="368" t="s">
        <v>1087</v>
      </c>
      <c r="C24" s="366">
        <f>131.970432*Головна!$B$131</f>
        <v>4473.797644799999</v>
      </c>
    </row>
    <row r="25" spans="1:3" ht="12.75">
      <c r="A25" s="672"/>
      <c r="B25" s="365" t="s">
        <v>1088</v>
      </c>
      <c r="C25" s="366">
        <f>104.697648*Головна!$B$131</f>
        <v>3549.2502672</v>
      </c>
    </row>
    <row r="26" spans="1:3" ht="14.25" thickBot="1">
      <c r="A26" s="145"/>
      <c r="C26" s="374"/>
    </row>
    <row r="27" spans="1:5" ht="30" customHeight="1">
      <c r="A27" s="670" t="s">
        <v>1089</v>
      </c>
      <c r="B27" s="365" t="s">
        <v>1090</v>
      </c>
      <c r="C27" s="366">
        <f>168.58974*Головна!$B$131</f>
        <v>5715.192186</v>
      </c>
      <c r="E27" s="1"/>
    </row>
    <row r="28" spans="1:3" ht="41.25" customHeight="1">
      <c r="A28" s="672"/>
      <c r="B28" s="365" t="s">
        <v>1091</v>
      </c>
      <c r="C28" s="366">
        <f>168.58974*Головна!$B$131</f>
        <v>5715.192186</v>
      </c>
    </row>
    <row r="29" spans="2:6" ht="12.75">
      <c r="B29" s="375"/>
      <c r="C29" s="367"/>
      <c r="E29" s="376"/>
      <c r="F29" s="376"/>
    </row>
    <row r="31" spans="1:3" ht="12.75">
      <c r="A31" s="673" t="s">
        <v>677</v>
      </c>
      <c r="B31" s="674"/>
      <c r="C31" s="377" t="s">
        <v>1092</v>
      </c>
    </row>
    <row r="32" spans="1:3" ht="12.75">
      <c r="A32" s="675"/>
      <c r="B32" s="676"/>
      <c r="C32" s="378" t="s">
        <v>1093</v>
      </c>
    </row>
    <row r="33" spans="1:3" ht="12.75">
      <c r="A33" s="677" t="s">
        <v>1094</v>
      </c>
      <c r="B33" s="678"/>
      <c r="C33" s="379" t="s">
        <v>1095</v>
      </c>
    </row>
  </sheetData>
  <sheetProtection/>
  <mergeCells count="6">
    <mergeCell ref="A10:A13"/>
    <mergeCell ref="A15:A19"/>
    <mergeCell ref="A21:A25"/>
    <mergeCell ref="A27:A28"/>
    <mergeCell ref="A31:B32"/>
    <mergeCell ref="A33:B3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8:G20"/>
  <sheetViews>
    <sheetView zoomScalePageLayoutView="0" workbookViewId="0" topLeftCell="A10">
      <selection activeCell="E18" sqref="E18"/>
    </sheetView>
  </sheetViews>
  <sheetFormatPr defaultColWidth="9.00390625" defaultRowHeight="12.75"/>
  <sheetData>
    <row r="8" spans="1:4" ht="22.5">
      <c r="A8" s="601" t="s">
        <v>618</v>
      </c>
      <c r="B8" s="601"/>
      <c r="C8" s="601"/>
      <c r="D8" s="601"/>
    </row>
    <row r="9" ht="15.75" customHeight="1"/>
    <row r="10" spans="1:7" ht="15">
      <c r="A10" s="679" t="s">
        <v>619</v>
      </c>
      <c r="B10" s="679"/>
      <c r="C10" s="679"/>
      <c r="D10" s="679"/>
      <c r="E10" s="679"/>
      <c r="F10" s="679"/>
      <c r="G10" s="679"/>
    </row>
    <row r="11" spans="1:4" ht="12.75">
      <c r="A11" s="592"/>
      <c r="B11" s="592"/>
      <c r="C11" s="592"/>
      <c r="D11" s="592"/>
    </row>
    <row r="12" spans="1:5" ht="12.75" customHeight="1">
      <c r="A12" s="79"/>
      <c r="B12" s="680" t="s">
        <v>620</v>
      </c>
      <c r="C12" s="680"/>
      <c r="D12" s="680"/>
      <c r="E12" s="680"/>
    </row>
    <row r="13" spans="1:4" ht="12.75">
      <c r="A13" s="83"/>
      <c r="B13" s="80"/>
      <c r="C13" s="80"/>
      <c r="D13" s="81"/>
    </row>
    <row r="15" spans="1:6" ht="25.5" customHeight="1">
      <c r="A15" s="691" t="s">
        <v>319</v>
      </c>
      <c r="B15" s="692"/>
      <c r="C15" s="683" t="s">
        <v>282</v>
      </c>
      <c r="D15" s="684"/>
      <c r="E15" s="681" t="s">
        <v>125</v>
      </c>
      <c r="F15" s="682"/>
    </row>
    <row r="16" spans="1:6" ht="12.75">
      <c r="A16" s="693"/>
      <c r="B16" s="694"/>
      <c r="C16" s="685"/>
      <c r="D16" s="686"/>
      <c r="E16" s="681" t="s">
        <v>621</v>
      </c>
      <c r="F16" s="682"/>
    </row>
    <row r="17" spans="1:6" ht="34.5" customHeight="1">
      <c r="A17" s="695" t="s">
        <v>622</v>
      </c>
      <c r="B17" s="696"/>
      <c r="C17" s="687" t="s">
        <v>400</v>
      </c>
      <c r="D17" s="687"/>
      <c r="E17" s="688">
        <f>30.97*Головна!B131</f>
        <v>1049.8829999999998</v>
      </c>
      <c r="F17" s="689"/>
    </row>
    <row r="18" ht="25.5" customHeight="1"/>
    <row r="19" spans="1:5" ht="13.5">
      <c r="A19" s="89" t="s">
        <v>604</v>
      </c>
      <c r="C19" s="690" t="s">
        <v>623</v>
      </c>
      <c r="D19" s="690"/>
      <c r="E19" s="690"/>
    </row>
    <row r="20" spans="1:4" ht="13.5">
      <c r="A20" s="89" t="s">
        <v>624</v>
      </c>
      <c r="B20" s="90"/>
      <c r="C20" s="90"/>
      <c r="D20" s="90"/>
    </row>
  </sheetData>
  <sheetProtection/>
  <mergeCells count="12">
    <mergeCell ref="C17:D17"/>
    <mergeCell ref="E17:F17"/>
    <mergeCell ref="C19:E19"/>
    <mergeCell ref="A15:B16"/>
    <mergeCell ref="A17:B17"/>
    <mergeCell ref="A8:D8"/>
    <mergeCell ref="A10:G10"/>
    <mergeCell ref="A11:D11"/>
    <mergeCell ref="B12:E12"/>
    <mergeCell ref="E15:F15"/>
    <mergeCell ref="E16:F16"/>
    <mergeCell ref="C15:D1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F4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P24" sqref="P24"/>
    </sheetView>
  </sheetViews>
  <sheetFormatPr defaultColWidth="8.625" defaultRowHeight="12.75"/>
  <cols>
    <col min="1" max="1" width="18.00390625" style="141" customWidth="1"/>
    <col min="2" max="2" width="33.875" style="141" customWidth="1"/>
    <col min="3" max="3" width="23.375" style="141" customWidth="1"/>
    <col min="4" max="4" width="18.375" style="168" customWidth="1"/>
    <col min="5" max="16384" width="8.625" style="37" customWidth="1"/>
  </cols>
  <sheetData>
    <row r="1" spans="1:4" ht="27.75" customHeight="1">
      <c r="A1" s="701" t="s">
        <v>388</v>
      </c>
      <c r="B1" s="701"/>
      <c r="C1" s="701"/>
      <c r="D1" s="701"/>
    </row>
    <row r="2" spans="1:5" ht="12.75" customHeight="1">
      <c r="A2" s="161" t="s">
        <v>200</v>
      </c>
      <c r="B2" s="161" t="s">
        <v>201</v>
      </c>
      <c r="C2" s="161" t="s">
        <v>202</v>
      </c>
      <c r="D2" s="161" t="s">
        <v>108</v>
      </c>
      <c r="E2" s="22"/>
    </row>
    <row r="3" spans="1:4" ht="25.5" customHeight="1">
      <c r="A3" s="702" t="s">
        <v>1099</v>
      </c>
      <c r="B3" s="703" t="s">
        <v>1100</v>
      </c>
      <c r="C3" s="383" t="s">
        <v>389</v>
      </c>
      <c r="D3" s="704" t="s">
        <v>390</v>
      </c>
    </row>
    <row r="4" spans="1:6" ht="27" customHeight="1">
      <c r="A4" s="702"/>
      <c r="B4" s="703"/>
      <c r="C4" s="383" t="s">
        <v>142</v>
      </c>
      <c r="D4" s="704"/>
      <c r="E4" s="38"/>
      <c r="F4" s="38"/>
    </row>
    <row r="5" spans="1:6" ht="17.25" customHeight="1">
      <c r="A5" s="146" t="s">
        <v>1101</v>
      </c>
      <c r="B5" s="385" t="s">
        <v>1102</v>
      </c>
      <c r="C5" s="383" t="s">
        <v>203</v>
      </c>
      <c r="D5" s="384" t="s">
        <v>390</v>
      </c>
      <c r="E5" s="38"/>
      <c r="F5" s="38"/>
    </row>
    <row r="6" spans="1:6" ht="15" customHeight="1">
      <c r="A6" s="146" t="s">
        <v>1103</v>
      </c>
      <c r="B6" s="385" t="s">
        <v>1104</v>
      </c>
      <c r="C6" s="383"/>
      <c r="D6" s="384" t="s">
        <v>390</v>
      </c>
      <c r="E6" s="38"/>
      <c r="F6" s="39"/>
    </row>
    <row r="7" spans="1:6" ht="15" customHeight="1">
      <c r="A7" s="146" t="s">
        <v>204</v>
      </c>
      <c r="B7" s="146" t="s">
        <v>1105</v>
      </c>
      <c r="C7" s="162" t="s">
        <v>205</v>
      </c>
      <c r="D7" s="384" t="s">
        <v>390</v>
      </c>
      <c r="E7" s="38"/>
      <c r="F7" s="38"/>
    </row>
    <row r="8" spans="1:6" ht="12.75" customHeight="1">
      <c r="A8" s="146" t="s">
        <v>206</v>
      </c>
      <c r="B8" s="160" t="s">
        <v>207</v>
      </c>
      <c r="C8" s="383" t="s">
        <v>208</v>
      </c>
      <c r="D8" s="384" t="s">
        <v>390</v>
      </c>
      <c r="E8" s="38"/>
      <c r="F8" s="38"/>
    </row>
    <row r="9" spans="1:6" ht="13.5" customHeight="1">
      <c r="A9" s="146" t="s">
        <v>206</v>
      </c>
      <c r="B9" s="160" t="s">
        <v>1106</v>
      </c>
      <c r="C9" s="383" t="s">
        <v>208</v>
      </c>
      <c r="D9" s="384" t="s">
        <v>390</v>
      </c>
      <c r="E9" s="38"/>
      <c r="F9" s="38"/>
    </row>
    <row r="10" spans="1:6" ht="12.75" customHeight="1">
      <c r="A10" s="160" t="s">
        <v>143</v>
      </c>
      <c r="B10" s="160" t="s">
        <v>1107</v>
      </c>
      <c r="C10" s="162" t="s">
        <v>209</v>
      </c>
      <c r="D10" s="384" t="s">
        <v>390</v>
      </c>
      <c r="E10" s="38"/>
      <c r="F10" s="38"/>
    </row>
    <row r="11" spans="1:6" ht="13.5" customHeight="1">
      <c r="A11" s="146" t="s">
        <v>210</v>
      </c>
      <c r="B11" s="146" t="s">
        <v>211</v>
      </c>
      <c r="C11" s="162" t="s">
        <v>212</v>
      </c>
      <c r="D11" s="386" t="s">
        <v>390</v>
      </c>
      <c r="E11" s="38"/>
      <c r="F11" s="38"/>
    </row>
    <row r="12" spans="1:6" ht="12.75" customHeight="1">
      <c r="A12" s="146" t="s">
        <v>213</v>
      </c>
      <c r="B12" s="146" t="s">
        <v>1108</v>
      </c>
      <c r="C12" s="162" t="s">
        <v>214</v>
      </c>
      <c r="D12" s="384" t="s">
        <v>390</v>
      </c>
      <c r="E12" s="38"/>
      <c r="F12" s="38"/>
    </row>
    <row r="13" spans="1:6" ht="12.75">
      <c r="A13" s="146" t="s">
        <v>215</v>
      </c>
      <c r="B13" s="146" t="s">
        <v>216</v>
      </c>
      <c r="C13" s="162" t="s">
        <v>217</v>
      </c>
      <c r="D13" s="384" t="s">
        <v>390</v>
      </c>
      <c r="E13" s="38"/>
      <c r="F13" s="38"/>
    </row>
    <row r="14" spans="1:6" ht="12.75">
      <c r="A14" s="146" t="s">
        <v>218</v>
      </c>
      <c r="B14" s="146" t="s">
        <v>1109</v>
      </c>
      <c r="C14" s="162" t="s">
        <v>219</v>
      </c>
      <c r="D14" s="384" t="s">
        <v>390</v>
      </c>
      <c r="E14" s="38"/>
      <c r="F14" s="38"/>
    </row>
    <row r="15" spans="1:6" ht="12.75">
      <c r="A15" s="146" t="s">
        <v>220</v>
      </c>
      <c r="B15" s="146" t="s">
        <v>221</v>
      </c>
      <c r="C15" s="162" t="s">
        <v>222</v>
      </c>
      <c r="D15" s="384" t="s">
        <v>390</v>
      </c>
      <c r="E15" s="38"/>
      <c r="F15" s="38"/>
    </row>
    <row r="16" spans="1:6" ht="12.75" customHeight="1">
      <c r="A16" s="146" t="s">
        <v>1110</v>
      </c>
      <c r="B16" s="146" t="s">
        <v>391</v>
      </c>
      <c r="C16" s="698" t="s">
        <v>223</v>
      </c>
      <c r="D16" s="384" t="s">
        <v>390</v>
      </c>
      <c r="E16" s="38"/>
      <c r="F16" s="38"/>
    </row>
    <row r="17" spans="1:6" ht="12.75">
      <c r="A17" s="146" t="s">
        <v>1111</v>
      </c>
      <c r="B17" s="146" t="s">
        <v>1112</v>
      </c>
      <c r="C17" s="699"/>
      <c r="D17" s="384" t="s">
        <v>390</v>
      </c>
      <c r="E17" s="38"/>
      <c r="F17" s="38"/>
    </row>
    <row r="18" spans="1:6" ht="12.75">
      <c r="A18" s="146" t="s">
        <v>1113</v>
      </c>
      <c r="B18" s="146" t="s">
        <v>224</v>
      </c>
      <c r="C18" s="698" t="s">
        <v>225</v>
      </c>
      <c r="D18" s="384" t="s">
        <v>390</v>
      </c>
      <c r="E18" s="38"/>
      <c r="F18" s="38"/>
    </row>
    <row r="19" spans="1:6" ht="12.75">
      <c r="A19" s="146" t="s">
        <v>1114</v>
      </c>
      <c r="B19" s="146" t="s">
        <v>1115</v>
      </c>
      <c r="C19" s="699"/>
      <c r="D19" s="384" t="s">
        <v>390</v>
      </c>
      <c r="E19" s="38"/>
      <c r="F19" s="38"/>
    </row>
    <row r="20" spans="1:6" ht="12.75">
      <c r="A20" s="146" t="s">
        <v>1128</v>
      </c>
      <c r="B20" s="146" t="s">
        <v>1129</v>
      </c>
      <c r="C20" s="388" t="s">
        <v>226</v>
      </c>
      <c r="D20" s="384" t="s">
        <v>390</v>
      </c>
      <c r="E20" s="38"/>
      <c r="F20" s="38"/>
    </row>
    <row r="21" spans="1:6" ht="12.75">
      <c r="A21" s="146" t="s">
        <v>109</v>
      </c>
      <c r="B21" s="146" t="s">
        <v>227</v>
      </c>
      <c r="C21" s="162" t="s">
        <v>228</v>
      </c>
      <c r="D21" s="384" t="s">
        <v>390</v>
      </c>
      <c r="E21" s="38"/>
      <c r="F21" s="38"/>
    </row>
    <row r="22" spans="1:6" ht="12.75">
      <c r="A22" s="160" t="s">
        <v>229</v>
      </c>
      <c r="B22" s="160" t="s">
        <v>230</v>
      </c>
      <c r="C22" s="162" t="s">
        <v>231</v>
      </c>
      <c r="D22" s="384" t="s">
        <v>390</v>
      </c>
      <c r="E22" s="38"/>
      <c r="F22" s="38"/>
    </row>
    <row r="23" spans="1:6" ht="12.75">
      <c r="A23" s="163" t="s">
        <v>122</v>
      </c>
      <c r="B23" s="163" t="s">
        <v>232</v>
      </c>
      <c r="C23" s="162" t="s">
        <v>233</v>
      </c>
      <c r="D23" s="384" t="s">
        <v>390</v>
      </c>
      <c r="E23" s="38"/>
      <c r="F23" s="38"/>
    </row>
    <row r="24" spans="1:6" ht="15.75" customHeight="1">
      <c r="A24" s="164" t="s">
        <v>1116</v>
      </c>
      <c r="B24" s="164" t="s">
        <v>234</v>
      </c>
      <c r="C24" s="705" t="s">
        <v>235</v>
      </c>
      <c r="D24" s="384" t="s">
        <v>390</v>
      </c>
      <c r="E24" s="38"/>
      <c r="F24" s="38"/>
    </row>
    <row r="25" spans="1:6" ht="15" customHeight="1">
      <c r="A25" s="164" t="s">
        <v>1117</v>
      </c>
      <c r="B25" s="164" t="s">
        <v>1118</v>
      </c>
      <c r="C25" s="706"/>
      <c r="D25" s="384" t="s">
        <v>390</v>
      </c>
      <c r="E25" s="38"/>
      <c r="F25" s="38"/>
    </row>
    <row r="26" spans="1:6" ht="12.75">
      <c r="A26" s="160" t="s">
        <v>110</v>
      </c>
      <c r="B26" s="160" t="s">
        <v>236</v>
      </c>
      <c r="C26" s="162" t="s">
        <v>237</v>
      </c>
      <c r="D26" s="384" t="s">
        <v>390</v>
      </c>
      <c r="E26" s="38"/>
      <c r="F26" s="38"/>
    </row>
    <row r="27" spans="1:6" ht="26.25">
      <c r="A27" s="146" t="s">
        <v>238</v>
      </c>
      <c r="B27" s="146" t="s">
        <v>1130</v>
      </c>
      <c r="C27" s="383" t="s">
        <v>239</v>
      </c>
      <c r="D27" s="384" t="s">
        <v>390</v>
      </c>
      <c r="E27" s="38"/>
      <c r="F27" s="38"/>
    </row>
    <row r="28" spans="1:6" ht="12.75" customHeight="1">
      <c r="A28" s="146" t="s">
        <v>240</v>
      </c>
      <c r="B28" s="146" t="s">
        <v>392</v>
      </c>
      <c r="C28" s="162" t="s">
        <v>241</v>
      </c>
      <c r="D28" s="384" t="s">
        <v>390</v>
      </c>
      <c r="E28" s="38"/>
      <c r="F28" s="38"/>
    </row>
    <row r="29" spans="1:6" ht="12.75" customHeight="1">
      <c r="A29" s="147" t="s">
        <v>242</v>
      </c>
      <c r="B29" s="147" t="s">
        <v>243</v>
      </c>
      <c r="C29" s="165" t="s">
        <v>244</v>
      </c>
      <c r="D29" s="384" t="s">
        <v>390</v>
      </c>
      <c r="E29" s="38"/>
      <c r="F29" s="38"/>
    </row>
    <row r="30" spans="1:6" ht="12.75">
      <c r="A30" s="147" t="s">
        <v>245</v>
      </c>
      <c r="B30" s="147" t="s">
        <v>1119</v>
      </c>
      <c r="C30" s="165" t="s">
        <v>246</v>
      </c>
      <c r="D30" s="384" t="s">
        <v>390</v>
      </c>
      <c r="F30" s="38"/>
    </row>
    <row r="31" spans="1:4" ht="12.75">
      <c r="A31" s="151" t="s">
        <v>247</v>
      </c>
      <c r="B31" s="151" t="s">
        <v>1120</v>
      </c>
      <c r="C31" s="166" t="s">
        <v>248</v>
      </c>
      <c r="D31" s="384" t="s">
        <v>390</v>
      </c>
    </row>
    <row r="32" spans="1:4" ht="12.75">
      <c r="A32" s="697" t="s">
        <v>144</v>
      </c>
      <c r="B32" s="697"/>
      <c r="C32" s="697"/>
      <c r="D32" s="697"/>
    </row>
    <row r="33" spans="1:4" ht="12.75">
      <c r="A33" s="140" t="s">
        <v>249</v>
      </c>
      <c r="B33" s="140" t="s">
        <v>1126</v>
      </c>
      <c r="C33" s="167" t="s">
        <v>149</v>
      </c>
      <c r="D33" s="384" t="s">
        <v>390</v>
      </c>
    </row>
    <row r="34" spans="1:4" ht="12.75">
      <c r="A34" s="140" t="s">
        <v>250</v>
      </c>
      <c r="B34" s="140" t="s">
        <v>251</v>
      </c>
      <c r="C34" s="167" t="s">
        <v>150</v>
      </c>
      <c r="D34" s="384" t="s">
        <v>390</v>
      </c>
    </row>
    <row r="35" spans="1:4" ht="12.75">
      <c r="A35" s="140" t="s">
        <v>151</v>
      </c>
      <c r="B35" s="140" t="s">
        <v>252</v>
      </c>
      <c r="C35" s="167" t="s">
        <v>152</v>
      </c>
      <c r="D35" s="384" t="s">
        <v>390</v>
      </c>
    </row>
    <row r="36" spans="1:4" ht="12.75">
      <c r="A36" s="697" t="s">
        <v>253</v>
      </c>
      <c r="B36" s="697"/>
      <c r="C36" s="697"/>
      <c r="D36" s="697"/>
    </row>
    <row r="37" spans="1:4" ht="12.75">
      <c r="A37" s="140" t="s">
        <v>254</v>
      </c>
      <c r="B37" s="140" t="s">
        <v>255</v>
      </c>
      <c r="C37" s="167" t="s">
        <v>256</v>
      </c>
      <c r="D37" s="384" t="s">
        <v>390</v>
      </c>
    </row>
    <row r="38" spans="1:4" ht="12.75">
      <c r="A38" s="140" t="s">
        <v>257</v>
      </c>
      <c r="B38" s="140" t="s">
        <v>258</v>
      </c>
      <c r="C38" s="167" t="s">
        <v>259</v>
      </c>
      <c r="D38" s="384" t="s">
        <v>390</v>
      </c>
    </row>
    <row r="39" spans="1:4" ht="12.75">
      <c r="A39" s="140" t="s">
        <v>260</v>
      </c>
      <c r="B39" s="140" t="s">
        <v>261</v>
      </c>
      <c r="C39" s="167" t="s">
        <v>262</v>
      </c>
      <c r="D39" s="384" t="s">
        <v>390</v>
      </c>
    </row>
    <row r="40" spans="1:4" ht="12.75">
      <c r="A40" s="140" t="s">
        <v>1121</v>
      </c>
      <c r="B40" s="140" t="s">
        <v>1131</v>
      </c>
      <c r="C40" s="167" t="s">
        <v>1122</v>
      </c>
      <c r="D40" s="384" t="s">
        <v>390</v>
      </c>
    </row>
    <row r="41" spans="1:4" ht="12.75">
      <c r="A41" s="700" t="s">
        <v>1127</v>
      </c>
      <c r="B41" s="700"/>
      <c r="C41" s="700"/>
      <c r="D41" s="700"/>
    </row>
    <row r="42" spans="1:4" ht="39">
      <c r="A42" s="140" t="s">
        <v>1123</v>
      </c>
      <c r="B42" s="140" t="s">
        <v>1124</v>
      </c>
      <c r="C42" s="387" t="s">
        <v>1125</v>
      </c>
      <c r="D42" s="384"/>
    </row>
    <row r="43" spans="1:4" ht="12.75">
      <c r="A43" s="697"/>
      <c r="B43" s="697"/>
      <c r="C43" s="697"/>
      <c r="D43" s="697"/>
    </row>
  </sheetData>
  <sheetProtection selectLockedCells="1" selectUnlockedCells="1"/>
  <mergeCells count="11">
    <mergeCell ref="C24:C25"/>
    <mergeCell ref="A43:D43"/>
    <mergeCell ref="C18:C19"/>
    <mergeCell ref="A32:D32"/>
    <mergeCell ref="A36:D36"/>
    <mergeCell ref="A41:D41"/>
    <mergeCell ref="A1:D1"/>
    <mergeCell ref="A3:A4"/>
    <mergeCell ref="B3:B4"/>
    <mergeCell ref="D3:D4"/>
    <mergeCell ref="C16:C17"/>
  </mergeCells>
  <hyperlinks>
    <hyperlink ref="D3:D4" r:id="rId1" display="Мапа проїзду"/>
    <hyperlink ref="D7" r:id="rId2" display="Мапа проїзду"/>
    <hyperlink ref="D5" r:id="rId3" display="Мапа проїзду"/>
    <hyperlink ref="D8" r:id="rId4" display="Мапа проїзду"/>
    <hyperlink ref="D14" r:id="rId5" display="Мапа проїзду"/>
    <hyperlink ref="D18" r:id="rId6" display="Мапа проїзду"/>
    <hyperlink ref="D16" r:id="rId7" display="Мапа проїзду"/>
    <hyperlink ref="D15" r:id="rId8" display="Мапа проїзду"/>
    <hyperlink ref="D20" r:id="rId9" display="Мапа проїзду"/>
    <hyperlink ref="D21" r:id="rId10" display="Мапа проїзду"/>
    <hyperlink ref="D22" r:id="rId11" display="Мапа проїзду"/>
    <hyperlink ref="D23" r:id="rId12" display="Мапа проїзду"/>
    <hyperlink ref="D24" r:id="rId13" display="Мапа проїзду"/>
    <hyperlink ref="D26" r:id="rId14" display="Мапа проїзду"/>
    <hyperlink ref="D27" r:id="rId15" display="Мапа проїзду"/>
    <hyperlink ref="D28" r:id="rId16" display="Мапа проїзду"/>
    <hyperlink ref="D29" r:id="rId17" display="Мапа проїзду"/>
    <hyperlink ref="D30" r:id="rId18" display="Мапа проїзду"/>
    <hyperlink ref="D31" r:id="rId19" display="Мапа проїзду"/>
    <hyperlink ref="D35" r:id="rId20" display="Мапа проїзду"/>
    <hyperlink ref="D34" r:id="rId21" display="Мапа проїзду"/>
    <hyperlink ref="D33" r:id="rId22" display="Мапа проїзду"/>
    <hyperlink ref="D37" r:id="rId23" display="Мапа проїзду"/>
    <hyperlink ref="D12" r:id="rId24" display="Мапа проїзду"/>
    <hyperlink ref="D11" r:id="rId25" display="Карта проезда"/>
    <hyperlink ref="D13" r:id="rId26" display="Мапа проїзду"/>
    <hyperlink ref="D10" r:id="rId27" display="Мапа проїзду"/>
    <hyperlink ref="D9" r:id="rId28" display="Мапа проїзду"/>
    <hyperlink ref="D40" r:id="rId29" display="Мапа проїзду"/>
    <hyperlink ref="D39" r:id="rId30" display="Мапа проїзду"/>
    <hyperlink ref="D38" r:id="rId31" display="Мапа проїзду"/>
    <hyperlink ref="D6" r:id="rId32" display="Мапа проїзду"/>
    <hyperlink ref="D17" r:id="rId33" display="Мапа проїзду"/>
    <hyperlink ref="D19" r:id="rId34" display="Мапа проїзду"/>
    <hyperlink ref="D25" r:id="rId35" display="Мапа проїзду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37"/>
  <colBreaks count="1" manualBreakCount="1">
    <brk id="4" max="65535" man="1"/>
  </colBreaks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8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13" sqref="H13"/>
    </sheetView>
  </sheetViews>
  <sheetFormatPr defaultColWidth="9.00390625" defaultRowHeight="12.75"/>
  <cols>
    <col min="1" max="1" width="12.50390625" style="0" customWidth="1"/>
    <col min="2" max="2" width="11.625" style="0" customWidth="1"/>
    <col min="3" max="3" width="12.125" style="0" customWidth="1"/>
    <col min="4" max="4" width="14.375" style="0" customWidth="1"/>
    <col min="5" max="5" width="10.875" style="0" customWidth="1"/>
    <col min="6" max="7" width="11.625" style="0" customWidth="1"/>
    <col min="8" max="8" width="27.50390625" style="0" customWidth="1"/>
  </cols>
  <sheetData>
    <row r="1" spans="1:8" ht="90.75" customHeight="1">
      <c r="A1" s="450"/>
      <c r="B1" s="450"/>
      <c r="C1" s="450"/>
      <c r="D1" s="450"/>
      <c r="E1" s="450"/>
      <c r="F1" s="450"/>
      <c r="G1" s="450"/>
      <c r="H1" s="36"/>
    </row>
    <row r="2" spans="1:8" ht="5.25" customHeight="1">
      <c r="A2" s="450"/>
      <c r="B2" s="450"/>
      <c r="C2" s="450"/>
      <c r="D2" s="450"/>
      <c r="E2" s="450"/>
      <c r="F2" s="450"/>
      <c r="G2" s="450"/>
      <c r="H2" s="36"/>
    </row>
    <row r="3" spans="1:8" s="11" customFormat="1" ht="16.5" customHeight="1">
      <c r="A3" s="451">
        <f>Головна!B2</f>
        <v>0</v>
      </c>
      <c r="B3" s="451"/>
      <c r="C3" s="10"/>
      <c r="D3" s="455" t="s">
        <v>273</v>
      </c>
      <c r="E3" s="455"/>
      <c r="F3" s="455"/>
      <c r="G3" s="455"/>
      <c r="H3" s="36"/>
    </row>
    <row r="4" spans="1:8" ht="18" customHeight="1">
      <c r="A4" s="452" t="s">
        <v>274</v>
      </c>
      <c r="B4" s="452"/>
      <c r="C4" s="452"/>
      <c r="D4" s="452"/>
      <c r="E4" s="452"/>
      <c r="H4" s="36"/>
    </row>
    <row r="5" spans="1:8" ht="18" customHeight="1">
      <c r="A5" s="193"/>
      <c r="B5" s="193"/>
      <c r="C5" s="193"/>
      <c r="D5" s="193"/>
      <c r="E5" s="193"/>
      <c r="H5" s="36"/>
    </row>
    <row r="6" spans="1:8" ht="18" customHeight="1">
      <c r="A6" s="454" t="s">
        <v>632</v>
      </c>
      <c r="B6" s="454"/>
      <c r="C6" s="454"/>
      <c r="D6" s="454"/>
      <c r="E6" s="454"/>
      <c r="F6" s="454"/>
      <c r="G6" s="454"/>
      <c r="H6" s="454"/>
    </row>
    <row r="7" spans="1:8" ht="16.5" customHeight="1">
      <c r="A7" s="453" t="s">
        <v>275</v>
      </c>
      <c r="B7" s="453"/>
      <c r="C7" s="453"/>
      <c r="D7" s="453"/>
      <c r="E7" s="453"/>
      <c r="H7" s="36"/>
    </row>
    <row r="9" ht="12.75" customHeight="1">
      <c r="A9" s="50" t="s">
        <v>263</v>
      </c>
    </row>
    <row r="10" ht="12.75" customHeight="1"/>
    <row r="11" spans="1:7" ht="12.75" customHeight="1">
      <c r="A11" s="464" t="s">
        <v>277</v>
      </c>
      <c r="B11" s="464"/>
      <c r="C11" s="464"/>
      <c r="D11" s="464"/>
      <c r="E11" s="464" t="s">
        <v>279</v>
      </c>
      <c r="F11" s="464" t="s">
        <v>280</v>
      </c>
      <c r="G11" s="464" t="s">
        <v>280</v>
      </c>
    </row>
    <row r="12" spans="1:7" ht="16.5" customHeight="1">
      <c r="A12" s="464"/>
      <c r="B12" s="464"/>
      <c r="C12" s="464"/>
      <c r="D12" s="464"/>
      <c r="E12" s="464"/>
      <c r="F12" s="464"/>
      <c r="G12" s="464"/>
    </row>
    <row r="13" spans="1:7" ht="16.5" customHeight="1">
      <c r="A13" s="340" t="s">
        <v>629</v>
      </c>
      <c r="B13" s="340" t="s">
        <v>625</v>
      </c>
      <c r="C13" s="340" t="s">
        <v>630</v>
      </c>
      <c r="D13" s="340" t="s">
        <v>631</v>
      </c>
      <c r="E13" s="464"/>
      <c r="F13" s="341" t="s">
        <v>70</v>
      </c>
      <c r="G13" s="341" t="s">
        <v>626</v>
      </c>
    </row>
    <row r="14" spans="1:7" ht="16.5" customHeight="1">
      <c r="A14" s="462" t="s">
        <v>627</v>
      </c>
      <c r="B14" s="462" t="s">
        <v>628</v>
      </c>
      <c r="C14" s="462" t="s">
        <v>1008</v>
      </c>
      <c r="D14" s="462">
        <v>2.78</v>
      </c>
      <c r="E14" s="342" t="s">
        <v>1009</v>
      </c>
      <c r="F14" s="343">
        <f>350*Головна!B131</f>
        <v>11865</v>
      </c>
      <c r="G14" s="344">
        <f aca="true" t="shared" si="0" ref="G14:G20">F14/$D$14</f>
        <v>4267.985611510791</v>
      </c>
    </row>
    <row r="15" spans="1:7" ht="16.5" customHeight="1">
      <c r="A15" s="462"/>
      <c r="B15" s="462"/>
      <c r="C15" s="462"/>
      <c r="D15" s="462"/>
      <c r="E15" s="342" t="s">
        <v>1010</v>
      </c>
      <c r="F15" s="343">
        <f>365*Головна!B131</f>
        <v>12373.5</v>
      </c>
      <c r="G15" s="344">
        <f t="shared" si="0"/>
        <v>4450.89928057554</v>
      </c>
    </row>
    <row r="16" spans="1:7" ht="13.5">
      <c r="A16" s="462"/>
      <c r="B16" s="462"/>
      <c r="C16" s="462"/>
      <c r="D16" s="462"/>
      <c r="E16" s="342" t="s">
        <v>1011</v>
      </c>
      <c r="F16" s="343">
        <f>480*Головна!B131</f>
        <v>16272</v>
      </c>
      <c r="G16" s="344">
        <f t="shared" si="0"/>
        <v>5853.237410071943</v>
      </c>
    </row>
    <row r="17" spans="1:7" ht="16.5" customHeight="1">
      <c r="A17" s="462"/>
      <c r="B17" s="462"/>
      <c r="C17" s="462"/>
      <c r="D17" s="462"/>
      <c r="E17" s="342" t="s">
        <v>1012</v>
      </c>
      <c r="F17" s="343">
        <f>515*Головна!B131</f>
        <v>17458.5</v>
      </c>
      <c r="G17" s="344">
        <f t="shared" si="0"/>
        <v>6280.035971223022</v>
      </c>
    </row>
    <row r="18" spans="1:7" ht="16.5" customHeight="1">
      <c r="A18" s="462"/>
      <c r="B18" s="462"/>
      <c r="C18" s="462"/>
      <c r="D18" s="462"/>
      <c r="E18" s="342" t="s">
        <v>1013</v>
      </c>
      <c r="F18" s="343">
        <f>550*Головна!B131</f>
        <v>18645</v>
      </c>
      <c r="G18" s="344">
        <f t="shared" si="0"/>
        <v>6706.834532374101</v>
      </c>
    </row>
    <row r="19" spans="1:7" ht="16.5" customHeight="1">
      <c r="A19" s="462"/>
      <c r="B19" s="462"/>
      <c r="C19" s="462"/>
      <c r="D19" s="462"/>
      <c r="E19" s="342" t="s">
        <v>1014</v>
      </c>
      <c r="F19" s="343">
        <f>575*Головна!B131</f>
        <v>19492.5</v>
      </c>
      <c r="G19" s="344">
        <f t="shared" si="0"/>
        <v>7011.690647482015</v>
      </c>
    </row>
    <row r="20" spans="1:7" ht="13.5">
      <c r="A20" s="462"/>
      <c r="B20" s="462"/>
      <c r="C20" s="462"/>
      <c r="D20" s="462"/>
      <c r="E20" s="342" t="s">
        <v>1015</v>
      </c>
      <c r="F20" s="343">
        <f>600*Головна!B131</f>
        <v>20340</v>
      </c>
      <c r="G20" s="344">
        <f t="shared" si="0"/>
        <v>7316.546762589928</v>
      </c>
    </row>
    <row r="21" ht="16.5" customHeight="1"/>
    <row r="22" spans="1:7" ht="16.5" customHeight="1">
      <c r="A22" s="58"/>
      <c r="B22" s="58"/>
      <c r="C22" s="58"/>
      <c r="D22" s="58"/>
      <c r="E22" s="59"/>
      <c r="F22" s="60"/>
      <c r="G22" s="60"/>
    </row>
    <row r="23" spans="1:7" ht="17.25">
      <c r="A23" s="456" t="s">
        <v>286</v>
      </c>
      <c r="B23" s="456"/>
      <c r="C23" s="456"/>
      <c r="D23" s="456"/>
      <c r="E23" s="456"/>
      <c r="F23" s="456"/>
      <c r="G23" s="456"/>
    </row>
    <row r="24" spans="1:7" ht="17.25" customHeight="1">
      <c r="A24" s="463" t="s">
        <v>289</v>
      </c>
      <c r="B24" s="463"/>
      <c r="C24" s="463"/>
      <c r="D24" s="463"/>
      <c r="E24" s="463"/>
      <c r="F24" s="463"/>
      <c r="G24" s="463"/>
    </row>
    <row r="25" spans="1:7" s="68" customFormat="1" ht="13.5" customHeight="1">
      <c r="A25" s="458" t="s">
        <v>377</v>
      </c>
      <c r="B25" s="458"/>
      <c r="C25" s="458"/>
      <c r="D25" s="459" t="s">
        <v>114</v>
      </c>
      <c r="E25" s="459"/>
      <c r="F25" s="459"/>
      <c r="G25" s="459"/>
    </row>
    <row r="26" spans="1:7" s="68" customFormat="1" ht="13.5" customHeight="1">
      <c r="A26" s="67"/>
      <c r="B26" s="69"/>
      <c r="C26" s="460" t="s">
        <v>290</v>
      </c>
      <c r="D26" s="460"/>
      <c r="E26" s="460"/>
      <c r="F26" s="460"/>
      <c r="G26" s="460"/>
    </row>
    <row r="27" spans="1:7" s="68" customFormat="1" ht="13.5" customHeight="1">
      <c r="A27" s="67"/>
      <c r="B27" s="69"/>
      <c r="C27" s="461" t="s">
        <v>378</v>
      </c>
      <c r="D27" s="461"/>
      <c r="E27" s="461"/>
      <c r="F27" s="461"/>
      <c r="G27" s="461"/>
    </row>
    <row r="28" ht="11.25" customHeight="1"/>
    <row r="29" spans="1:6" ht="12.75">
      <c r="A29" s="421"/>
      <c r="B29" s="457" t="s">
        <v>111</v>
      </c>
      <c r="C29" s="457" t="s">
        <v>281</v>
      </c>
      <c r="E29" s="457" t="s">
        <v>111</v>
      </c>
      <c r="F29" s="457" t="s">
        <v>281</v>
      </c>
    </row>
    <row r="30" spans="1:6" ht="12.75">
      <c r="A30" s="421"/>
      <c r="B30" s="457"/>
      <c r="C30" s="457"/>
      <c r="E30" s="457"/>
      <c r="F30" s="457"/>
    </row>
    <row r="31" spans="1:6" ht="13.5">
      <c r="A31" s="42"/>
      <c r="B31" s="48">
        <v>802</v>
      </c>
      <c r="C31" s="61">
        <f>158*Головна!B131</f>
        <v>5356.2</v>
      </c>
      <c r="E31" s="70" t="s">
        <v>182</v>
      </c>
      <c r="F31" s="152">
        <f>235*Головна!B131</f>
        <v>7966.5</v>
      </c>
    </row>
    <row r="32" spans="1:6" ht="13.5">
      <c r="A32" s="42"/>
      <c r="B32" s="48">
        <v>804</v>
      </c>
      <c r="C32" s="61">
        <f>223*Головна!B131</f>
        <v>7559.7</v>
      </c>
      <c r="E32" s="70" t="s">
        <v>183</v>
      </c>
      <c r="F32" s="152">
        <f>165*Головна!B131</f>
        <v>5593.5</v>
      </c>
    </row>
    <row r="33" spans="1:6" ht="13.5">
      <c r="A33" s="42"/>
      <c r="B33" s="48">
        <v>805</v>
      </c>
      <c r="C33" s="61">
        <f>252*Головна!B131</f>
        <v>8542.8</v>
      </c>
      <c r="E33" s="70" t="s">
        <v>184</v>
      </c>
      <c r="F33" s="152">
        <f>205*Головна!B131</f>
        <v>6949.5</v>
      </c>
    </row>
    <row r="34" spans="1:6" ht="13.5">
      <c r="A34" s="42"/>
      <c r="B34" s="48">
        <v>810</v>
      </c>
      <c r="C34" s="61">
        <f>125*Головна!B131</f>
        <v>4237.5</v>
      </c>
      <c r="E34" s="70" t="s">
        <v>185</v>
      </c>
      <c r="F34" s="152">
        <f>215*Головна!B131</f>
        <v>7288.5</v>
      </c>
    </row>
    <row r="35" spans="1:6" ht="13.5">
      <c r="A35" s="42"/>
      <c r="B35" s="48">
        <v>815</v>
      </c>
      <c r="C35" s="61">
        <f>161*Головна!B131</f>
        <v>5457.9</v>
      </c>
      <c r="E35" s="48" t="s">
        <v>186</v>
      </c>
      <c r="F35" s="153">
        <f>245*Головна!B131</f>
        <v>8305.5</v>
      </c>
    </row>
    <row r="36" spans="1:6" ht="13.5">
      <c r="A36" s="42"/>
      <c r="B36" s="48">
        <v>820</v>
      </c>
      <c r="C36" s="61">
        <f>110*Головна!B131</f>
        <v>3729</v>
      </c>
      <c r="E36" s="48" t="s">
        <v>187</v>
      </c>
      <c r="F36" s="153">
        <f>260*Головна!B131</f>
        <v>8814</v>
      </c>
    </row>
    <row r="37" spans="1:6" ht="13.5">
      <c r="A37" s="42"/>
      <c r="B37" s="48">
        <v>809</v>
      </c>
      <c r="C37" s="61">
        <f>178*Головна!B131</f>
        <v>6034.2</v>
      </c>
      <c r="E37" s="48" t="s">
        <v>188</v>
      </c>
      <c r="F37" s="153">
        <f>358*Головна!B131</f>
        <v>12136.199999999999</v>
      </c>
    </row>
    <row r="38" spans="1:6" ht="13.5">
      <c r="A38" s="42"/>
      <c r="B38" s="48">
        <v>831</v>
      </c>
      <c r="C38" s="61">
        <f>168*Головна!B131</f>
        <v>5695.2</v>
      </c>
      <c r="E38" s="48" t="s">
        <v>189</v>
      </c>
      <c r="F38" s="153">
        <f>407*Головна!B131</f>
        <v>13797.3</v>
      </c>
    </row>
    <row r="39" spans="1:6" ht="13.5">
      <c r="A39" s="42"/>
      <c r="B39" s="48">
        <v>850</v>
      </c>
      <c r="C39" s="61">
        <f>367*Головна!B131</f>
        <v>12441.3</v>
      </c>
      <c r="E39" s="48" t="s">
        <v>190</v>
      </c>
      <c r="F39" s="153">
        <f>278*Головна!B131</f>
        <v>9424.199999999999</v>
      </c>
    </row>
    <row r="40" spans="1:6" ht="13.5">
      <c r="A40" s="42"/>
      <c r="B40" s="48">
        <v>857</v>
      </c>
      <c r="C40" s="61">
        <f>140*Головна!B131</f>
        <v>4746</v>
      </c>
      <c r="E40" s="48" t="s">
        <v>191</v>
      </c>
      <c r="F40" s="153">
        <f>294*Головна!B131</f>
        <v>9966.6</v>
      </c>
    </row>
    <row r="41" spans="1:6" ht="13.5">
      <c r="A41" s="42"/>
      <c r="B41" s="48">
        <v>859</v>
      </c>
      <c r="C41" s="61">
        <f>233*Головна!B131</f>
        <v>7898.7</v>
      </c>
      <c r="E41" s="48" t="s">
        <v>192</v>
      </c>
      <c r="F41" s="154">
        <f>323*Головна!B131</f>
        <v>10949.699999999999</v>
      </c>
    </row>
    <row r="42" spans="1:6" ht="13.5">
      <c r="A42" s="42"/>
      <c r="B42" s="48">
        <v>871</v>
      </c>
      <c r="C42" s="61">
        <f>380*Головна!B131</f>
        <v>12882</v>
      </c>
      <c r="E42" s="48" t="s">
        <v>193</v>
      </c>
      <c r="F42" s="155">
        <f>334*Головна!B131</f>
        <v>11322.6</v>
      </c>
    </row>
    <row r="43" spans="1:6" ht="13.5">
      <c r="A43" s="42"/>
      <c r="B43" s="48">
        <v>873</v>
      </c>
      <c r="C43" s="61">
        <f>436*Головна!B131</f>
        <v>14780.4</v>
      </c>
      <c r="E43" s="48" t="s">
        <v>194</v>
      </c>
      <c r="F43" s="155">
        <f>389*Головна!B131</f>
        <v>13187.099999999999</v>
      </c>
    </row>
    <row r="44" spans="1:6" ht="13.5">
      <c r="A44" s="42"/>
      <c r="B44" s="48">
        <v>881</v>
      </c>
      <c r="C44" s="61">
        <f>430*Головна!B131</f>
        <v>14577</v>
      </c>
      <c r="E44" s="48" t="s">
        <v>195</v>
      </c>
      <c r="F44" s="155">
        <f>407*Головна!B131</f>
        <v>13797.3</v>
      </c>
    </row>
    <row r="45" spans="1:6" ht="13.5">
      <c r="A45" s="42"/>
      <c r="B45" s="48" t="s">
        <v>117</v>
      </c>
      <c r="C45" s="61">
        <f>249*Головна!B131</f>
        <v>8441.1</v>
      </c>
      <c r="E45" s="48" t="s">
        <v>196</v>
      </c>
      <c r="F45" s="155">
        <f>378*Головна!B131</f>
        <v>12814.199999999999</v>
      </c>
    </row>
    <row r="46" spans="1:6" ht="13.5">
      <c r="A46" s="42"/>
      <c r="B46" s="48" t="s">
        <v>118</v>
      </c>
      <c r="C46" s="61">
        <f>275*Головна!B131</f>
        <v>9322.5</v>
      </c>
      <c r="E46" s="48" t="s">
        <v>197</v>
      </c>
      <c r="F46" s="154">
        <f>323*Головна!B131</f>
        <v>10949.699999999999</v>
      </c>
    </row>
    <row r="47" spans="1:6" ht="13.5">
      <c r="A47" s="42"/>
      <c r="B47" s="48" t="s">
        <v>119</v>
      </c>
      <c r="C47" s="61">
        <f>165*Головна!B131</f>
        <v>5593.5</v>
      </c>
      <c r="E47" s="48" t="s">
        <v>198</v>
      </c>
      <c r="F47" s="154">
        <f>345*Головна!B131</f>
        <v>11695.5</v>
      </c>
    </row>
    <row r="48" spans="1:6" ht="13.5">
      <c r="A48" s="42"/>
      <c r="B48" s="48" t="s">
        <v>120</v>
      </c>
      <c r="C48" s="61">
        <f>222*Головна!B131</f>
        <v>7525.799999999999</v>
      </c>
      <c r="E48" s="48" t="s">
        <v>199</v>
      </c>
      <c r="F48" s="154">
        <f>354*Головна!B131</f>
        <v>12000.6</v>
      </c>
    </row>
    <row r="49" spans="1:3" ht="13.5">
      <c r="A49" s="42"/>
      <c r="B49" s="48" t="s">
        <v>121</v>
      </c>
      <c r="C49" s="61">
        <f>266*Головна!B131</f>
        <v>9017.4</v>
      </c>
    </row>
    <row r="50" ht="13.5">
      <c r="A50" s="42"/>
    </row>
    <row r="51" spans="1:6" ht="17.25">
      <c r="A51" s="42"/>
      <c r="B51" s="456" t="s">
        <v>291</v>
      </c>
      <c r="C51" s="456"/>
      <c r="D51" s="456"/>
      <c r="E51" s="456"/>
      <c r="F51" s="456"/>
    </row>
    <row r="52" spans="1:3" ht="13.5">
      <c r="A52" s="42"/>
      <c r="B52" s="42"/>
      <c r="C52" s="156"/>
    </row>
    <row r="53" spans="1:6" ht="13.5">
      <c r="A53" s="42"/>
      <c r="B53" s="457" t="s">
        <v>111</v>
      </c>
      <c r="C53" s="468" t="s">
        <v>292</v>
      </c>
      <c r="D53" s="468"/>
      <c r="E53" s="468"/>
      <c r="F53" s="468"/>
    </row>
    <row r="54" spans="1:6" ht="13.5">
      <c r="A54" s="42"/>
      <c r="B54" s="457"/>
      <c r="C54" s="157" t="s">
        <v>293</v>
      </c>
      <c r="D54" s="158">
        <v>2</v>
      </c>
      <c r="E54" s="158">
        <v>3</v>
      </c>
      <c r="F54" s="158">
        <v>4</v>
      </c>
    </row>
    <row r="55" spans="1:6" ht="13.5">
      <c r="A55" s="42"/>
      <c r="B55" s="48">
        <v>9501</v>
      </c>
      <c r="C55" s="159">
        <f>410*Головна!B131</f>
        <v>13899</v>
      </c>
      <c r="D55" s="159">
        <f>436*Головна!B131</f>
        <v>14780.4</v>
      </c>
      <c r="E55" s="159">
        <f>449*Головна!B131</f>
        <v>15221.099999999999</v>
      </c>
      <c r="F55" s="159">
        <f>457*Головна!B131</f>
        <v>15492.3</v>
      </c>
    </row>
    <row r="56" spans="1:6" ht="13.5">
      <c r="A56" s="42"/>
      <c r="B56" s="48">
        <v>9502</v>
      </c>
      <c r="C56" s="159">
        <f>470*Головна!B131</f>
        <v>15933</v>
      </c>
      <c r="D56" s="159">
        <f>509*Головна!B131</f>
        <v>17255.1</v>
      </c>
      <c r="E56" s="159">
        <f>518*Головна!B131</f>
        <v>17560.2</v>
      </c>
      <c r="F56" s="159">
        <f>528*Головна!B131</f>
        <v>17899.2</v>
      </c>
    </row>
    <row r="57" spans="1:6" ht="13.5">
      <c r="A57" s="42"/>
      <c r="B57" s="48">
        <v>9503</v>
      </c>
      <c r="C57" s="159">
        <f>528*Головна!B131</f>
        <v>17899.2</v>
      </c>
      <c r="D57" s="159">
        <f>591*Головна!B131</f>
        <v>20034.899999999998</v>
      </c>
      <c r="E57" s="159">
        <f>604*Головна!B131</f>
        <v>20475.6</v>
      </c>
      <c r="F57" s="159">
        <f>621*Головна!B131</f>
        <v>21051.899999999998</v>
      </c>
    </row>
    <row r="58" spans="1:6" ht="13.5">
      <c r="A58" s="42"/>
      <c r="B58" s="48">
        <v>9504</v>
      </c>
      <c r="C58" s="159">
        <f>569*Головна!B131</f>
        <v>19289.1</v>
      </c>
      <c r="D58" s="159">
        <f>628*Головна!B131</f>
        <v>21289.2</v>
      </c>
      <c r="E58" s="159">
        <f>645*Головна!B131</f>
        <v>21865.5</v>
      </c>
      <c r="F58" s="159">
        <f>656*Головна!B131</f>
        <v>22238.399999999998</v>
      </c>
    </row>
    <row r="59" spans="1:6" ht="13.5">
      <c r="A59" s="42"/>
      <c r="B59" s="48">
        <v>9505</v>
      </c>
      <c r="C59" s="159">
        <f>578*Головна!B131</f>
        <v>19594.2</v>
      </c>
      <c r="D59" s="159">
        <f>659*Головна!B131</f>
        <v>22340.1</v>
      </c>
      <c r="E59" s="159">
        <f>675*Головна!B131</f>
        <v>22882.5</v>
      </c>
      <c r="F59" s="159">
        <f>688*Головна!B131</f>
        <v>23323.2</v>
      </c>
    </row>
    <row r="60" ht="13.5">
      <c r="A60" s="42"/>
    </row>
    <row r="61" spans="1:7" ht="17.25">
      <c r="A61" s="466" t="s">
        <v>294</v>
      </c>
      <c r="B61" s="466"/>
      <c r="C61" s="466"/>
      <c r="D61" s="466"/>
      <c r="E61" s="466"/>
      <c r="F61" s="466"/>
      <c r="G61" s="466"/>
    </row>
    <row r="62" spans="1:7" ht="17.25">
      <c r="A62" s="62"/>
      <c r="B62" s="62"/>
      <c r="C62" s="62"/>
      <c r="D62" s="62"/>
      <c r="E62" s="62"/>
      <c r="F62" s="62"/>
      <c r="G62" s="62"/>
    </row>
    <row r="63" spans="1:7" ht="15">
      <c r="A63" s="440" t="s">
        <v>295</v>
      </c>
      <c r="B63" s="440"/>
      <c r="C63" s="440"/>
      <c r="D63" s="440"/>
      <c r="E63" s="440"/>
      <c r="F63" s="440"/>
      <c r="G63" s="440"/>
    </row>
    <row r="64" spans="1:8" ht="12.75">
      <c r="A64" s="453" t="s">
        <v>296</v>
      </c>
      <c r="B64" s="453"/>
      <c r="C64" s="453"/>
      <c r="D64" s="453"/>
      <c r="E64" s="453"/>
      <c r="F64" s="453"/>
      <c r="G64" s="453"/>
      <c r="H64" s="50" t="s">
        <v>263</v>
      </c>
    </row>
    <row r="65" spans="1:7" ht="10.5" customHeight="1">
      <c r="A65" s="40"/>
      <c r="B65" s="40"/>
      <c r="C65" s="40"/>
      <c r="D65" s="40"/>
      <c r="E65" s="17"/>
      <c r="F65" s="17"/>
      <c r="G65" s="17"/>
    </row>
    <row r="66" spans="1:7" ht="15" customHeight="1">
      <c r="A66" s="467" t="s">
        <v>297</v>
      </c>
      <c r="B66" s="467"/>
      <c r="C66" s="467"/>
      <c r="D66" s="57">
        <f>8*Головна!B131</f>
        <v>271.2</v>
      </c>
      <c r="E66" s="18"/>
      <c r="F66" s="19"/>
      <c r="G66" s="20"/>
    </row>
    <row r="67" spans="1:7" ht="15" customHeight="1">
      <c r="A67" s="467" t="s">
        <v>298</v>
      </c>
      <c r="B67" s="467"/>
      <c r="C67" s="467"/>
      <c r="D67" s="57">
        <f>38*Головна!B131</f>
        <v>1288.2</v>
      </c>
      <c r="E67" s="18"/>
      <c r="F67" s="19"/>
      <c r="G67" s="20"/>
    </row>
    <row r="68" spans="1:7" ht="12.75">
      <c r="A68" s="465" t="s">
        <v>299</v>
      </c>
      <c r="B68" s="465"/>
      <c r="C68" s="465"/>
      <c r="D68" s="57">
        <f>1*Головна!B131</f>
        <v>33.9</v>
      </c>
      <c r="E68" s="18"/>
      <c r="F68" s="16"/>
      <c r="G68" s="16"/>
    </row>
  </sheetData>
  <sheetProtection/>
  <mergeCells count="35">
    <mergeCell ref="A68:C68"/>
    <mergeCell ref="A61:G61"/>
    <mergeCell ref="A63:G63"/>
    <mergeCell ref="A64:G64"/>
    <mergeCell ref="A67:C67"/>
    <mergeCell ref="E29:E30"/>
    <mergeCell ref="F29:F30"/>
    <mergeCell ref="A66:C66"/>
    <mergeCell ref="B53:B54"/>
    <mergeCell ref="C53:F53"/>
    <mergeCell ref="D14:D20"/>
    <mergeCell ref="A24:G24"/>
    <mergeCell ref="A23:G23"/>
    <mergeCell ref="G11:G12"/>
    <mergeCell ref="A14:A20"/>
    <mergeCell ref="A11:D12"/>
    <mergeCell ref="E11:E13"/>
    <mergeCell ref="F11:F12"/>
    <mergeCell ref="C14:C20"/>
    <mergeCell ref="B14:B20"/>
    <mergeCell ref="B51:F51"/>
    <mergeCell ref="C29:C30"/>
    <mergeCell ref="A25:C25"/>
    <mergeCell ref="D25:G25"/>
    <mergeCell ref="A29:A30"/>
    <mergeCell ref="C26:G26"/>
    <mergeCell ref="C27:G27"/>
    <mergeCell ref="B29:B30"/>
    <mergeCell ref="A1:G1"/>
    <mergeCell ref="A2:G2"/>
    <mergeCell ref="A3:B3"/>
    <mergeCell ref="A4:E4"/>
    <mergeCell ref="A7:E7"/>
    <mergeCell ref="A6:H6"/>
    <mergeCell ref="D3:G3"/>
  </mergeCells>
  <hyperlinks>
    <hyperlink ref="A9" location="Главная!A1" display="на главную"/>
    <hyperlink ref="H64" location="Главная!A1" display="на главную"/>
    <hyperlink ref="A7:E7" r:id="rId1" display="Смотрите виды и характеристики акрилового камня Corian® на сайте:"/>
    <hyperlink ref="A24:G24" r:id="rId2" display="посмотреть модели моек с размерами на сайте"/>
    <hyperlink ref="A61:G61" r:id="rId3" display="Посмотреть  акции  на  Corian®!"/>
    <hyperlink ref="A64:G64" r:id="rId4" display="Смотрите виды и характеристики сопутствующих материалов на сайте:"/>
  </hyperlinks>
  <printOptions/>
  <pageMargins left="1" right="0.62" top="0.21" bottom="0.18" header="0.23" footer="0.2"/>
  <pageSetup horizontalDpi="600" verticalDpi="600" orientation="portrait" paperSize="9" scale="71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4"/>
  <sheetViews>
    <sheetView view="pageBreakPreview" zoomScaleSheetLayoutView="100" zoomScalePageLayoutView="0" workbookViewId="0" topLeftCell="A1">
      <pane xSplit="2" ySplit="7" topLeftCell="C1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D43" sqref="D43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20.875" style="0" customWidth="1"/>
    <col min="6" max="6" width="12.50390625" style="0" customWidth="1"/>
    <col min="7" max="7" width="11.625" style="0" customWidth="1"/>
    <col min="8" max="8" width="10.625" style="0" bestFit="1" customWidth="1"/>
  </cols>
  <sheetData>
    <row r="1" spans="1:8" ht="90.75" customHeight="1">
      <c r="A1" s="450"/>
      <c r="B1" s="450"/>
      <c r="C1" s="450"/>
      <c r="D1" s="450"/>
      <c r="E1" s="450"/>
      <c r="F1" s="450"/>
      <c r="G1" s="450"/>
      <c r="H1" s="36"/>
    </row>
    <row r="2" spans="1:8" ht="12" customHeight="1">
      <c r="A2" s="53"/>
      <c r="B2" s="53"/>
      <c r="C2" s="53"/>
      <c r="D2" s="53"/>
      <c r="E2" s="53"/>
      <c r="F2" s="53"/>
      <c r="G2" s="53"/>
      <c r="H2" s="36"/>
    </row>
    <row r="3" spans="1:8" s="11" customFormat="1" ht="16.5" customHeight="1">
      <c r="A3" s="473" t="s">
        <v>633</v>
      </c>
      <c r="B3" s="473"/>
      <c r="C3" s="473"/>
      <c r="D3" s="473"/>
      <c r="E3" s="478" t="s">
        <v>273</v>
      </c>
      <c r="F3" s="478"/>
      <c r="G3" s="478"/>
      <c r="H3" s="36"/>
    </row>
    <row r="4" spans="1:2" ht="23.25" customHeight="1">
      <c r="A4" s="191" t="s">
        <v>634</v>
      </c>
      <c r="B4" s="191"/>
    </row>
    <row r="5" spans="1:8" s="14" customFormat="1" ht="18" customHeight="1">
      <c r="A5" s="479" t="s">
        <v>300</v>
      </c>
      <c r="B5" s="479"/>
      <c r="C5" s="479"/>
      <c r="D5" s="479"/>
      <c r="E5" s="479"/>
      <c r="F5" s="480"/>
      <c r="G5" s="480"/>
      <c r="H5" s="28"/>
    </row>
    <row r="6" spans="1:8" s="14" customFormat="1" ht="14.25" customHeight="1">
      <c r="A6" s="453" t="s">
        <v>276</v>
      </c>
      <c r="B6" s="453"/>
      <c r="C6" s="453"/>
      <c r="D6" s="453"/>
      <c r="E6" s="453"/>
      <c r="F6" s="480"/>
      <c r="G6" s="480"/>
      <c r="H6" s="28"/>
    </row>
    <row r="7" spans="1:8" s="14" customFormat="1" ht="6" customHeight="1">
      <c r="A7" s="56"/>
      <c r="B7" s="56"/>
      <c r="C7" s="56"/>
      <c r="D7" s="56"/>
      <c r="E7" s="56"/>
      <c r="F7" s="54"/>
      <c r="G7" s="54"/>
      <c r="H7" s="28"/>
    </row>
    <row r="8" spans="1:7" s="14" customFormat="1" ht="15" customHeight="1">
      <c r="A8" s="12"/>
      <c r="B8" s="12"/>
      <c r="C8" s="12"/>
      <c r="D8" s="12"/>
      <c r="E8" s="12"/>
      <c r="F8" s="54"/>
      <c r="G8" s="52" t="s">
        <v>263</v>
      </c>
    </row>
    <row r="9" s="14" customFormat="1" ht="14.25" customHeight="1"/>
    <row r="10" spans="1:7" s="14" customFormat="1" ht="10.5" customHeight="1">
      <c r="A10" s="464" t="s">
        <v>277</v>
      </c>
      <c r="B10" s="464"/>
      <c r="C10" s="464"/>
      <c r="D10" s="464"/>
      <c r="E10" s="464" t="s">
        <v>279</v>
      </c>
      <c r="F10" s="464" t="s">
        <v>1016</v>
      </c>
      <c r="G10" s="464"/>
    </row>
    <row r="11" spans="1:7" s="14" customFormat="1" ht="21.75" customHeight="1">
      <c r="A11" s="464"/>
      <c r="B11" s="464"/>
      <c r="C11" s="464"/>
      <c r="D11" s="464"/>
      <c r="E11" s="464"/>
      <c r="F11" s="464"/>
      <c r="G11" s="464"/>
    </row>
    <row r="12" spans="1:7" s="14" customFormat="1" ht="19.5" customHeight="1">
      <c r="A12" s="340" t="s">
        <v>629</v>
      </c>
      <c r="B12" s="340" t="s">
        <v>625</v>
      </c>
      <c r="C12" s="340" t="s">
        <v>630</v>
      </c>
      <c r="D12" s="340" t="s">
        <v>1017</v>
      </c>
      <c r="E12" s="464"/>
      <c r="F12" s="341" t="s">
        <v>70</v>
      </c>
      <c r="G12" s="341" t="s">
        <v>626</v>
      </c>
    </row>
    <row r="13" spans="1:7" s="14" customFormat="1" ht="36.75" customHeight="1">
      <c r="A13" s="469" t="s">
        <v>112</v>
      </c>
      <c r="B13" s="469" t="s">
        <v>1018</v>
      </c>
      <c r="C13" s="469" t="s">
        <v>1019</v>
      </c>
      <c r="D13" s="469">
        <v>2.78</v>
      </c>
      <c r="E13" s="345" t="s">
        <v>1020</v>
      </c>
      <c r="F13" s="346">
        <f>155*Головна!B131</f>
        <v>5254.5</v>
      </c>
      <c r="G13" s="347">
        <f>F13/2.78008</f>
        <v>1890.0535236396076</v>
      </c>
    </row>
    <row r="14" spans="1:7" s="14" customFormat="1" ht="108" customHeight="1">
      <c r="A14" s="469"/>
      <c r="B14" s="469"/>
      <c r="C14" s="469"/>
      <c r="D14" s="469"/>
      <c r="E14" s="345" t="s">
        <v>1021</v>
      </c>
      <c r="F14" s="346">
        <f>237*Головна!B131</f>
        <v>8034.299999999999</v>
      </c>
      <c r="G14" s="347">
        <f>F14/2.78008</f>
        <v>2889.952807113464</v>
      </c>
    </row>
    <row r="15" spans="1:7" s="14" customFormat="1" ht="36" customHeight="1">
      <c r="A15" s="469"/>
      <c r="B15" s="469"/>
      <c r="C15" s="469"/>
      <c r="D15" s="469"/>
      <c r="E15" s="345" t="s">
        <v>1022</v>
      </c>
      <c r="F15" s="346">
        <f>295*Головна!B131</f>
        <v>10000.5</v>
      </c>
      <c r="G15" s="347">
        <f>F15/2.78008</f>
        <v>3597.198641765705</v>
      </c>
    </row>
    <row r="16" spans="1:3" s="14" customFormat="1" ht="19.5" customHeight="1">
      <c r="A16" s="27"/>
      <c r="B16" s="35"/>
      <c r="C16" s="35"/>
    </row>
    <row r="17" spans="1:3" s="14" customFormat="1" ht="19.5" customHeight="1">
      <c r="A17" s="27"/>
      <c r="B17" s="35"/>
      <c r="C17" s="35"/>
    </row>
    <row r="18" spans="1:3" s="14" customFormat="1" ht="19.5" customHeight="1">
      <c r="A18" s="27"/>
      <c r="B18" s="35"/>
      <c r="C18" s="35"/>
    </row>
    <row r="19" spans="1:10" s="14" customFormat="1" ht="15" customHeight="1">
      <c r="A19" s="63"/>
      <c r="B19" s="63"/>
      <c r="C19" s="63"/>
      <c r="D19" s="63"/>
      <c r="E19" s="64"/>
      <c r="F19" s="65"/>
      <c r="G19" s="65"/>
      <c r="H19" s="23"/>
      <c r="I19" s="28"/>
      <c r="J19" s="28"/>
    </row>
    <row r="20" spans="1:7" ht="17.25">
      <c r="A20" s="456" t="s">
        <v>287</v>
      </c>
      <c r="B20" s="456"/>
      <c r="C20" s="456"/>
      <c r="D20" s="456"/>
      <c r="E20" s="456"/>
      <c r="F20" s="456"/>
      <c r="G20" s="456"/>
    </row>
    <row r="21" spans="1:7" ht="17.25" customHeight="1">
      <c r="A21" s="463" t="s">
        <v>289</v>
      </c>
      <c r="B21" s="463"/>
      <c r="C21" s="463"/>
      <c r="D21" s="463"/>
      <c r="E21" s="463"/>
      <c r="F21" s="463"/>
      <c r="G21" s="463"/>
    </row>
    <row r="22" spans="4:7" ht="9" customHeight="1">
      <c r="D22" s="471"/>
      <c r="E22" s="471"/>
      <c r="F22" s="471"/>
      <c r="G22" s="471"/>
    </row>
    <row r="23" spans="1:7" ht="18" customHeight="1">
      <c r="A23" s="472" t="s">
        <v>379</v>
      </c>
      <c r="B23" s="472"/>
      <c r="C23" s="472"/>
      <c r="D23" s="55"/>
      <c r="E23" s="458"/>
      <c r="F23" s="458"/>
      <c r="G23" s="458"/>
    </row>
    <row r="24" spans="4:7" ht="9" customHeight="1">
      <c r="D24" s="55"/>
      <c r="E24" s="55"/>
      <c r="F24" s="55"/>
      <c r="G24" s="55"/>
    </row>
    <row r="25" spans="1:5" s="14" customFormat="1" ht="19.5" customHeight="1">
      <c r="A25" s="15"/>
      <c r="B25" s="474" t="s">
        <v>111</v>
      </c>
      <c r="C25" s="474" t="s">
        <v>281</v>
      </c>
      <c r="D25" s="16"/>
      <c r="E25" s="28"/>
    </row>
    <row r="26" spans="1:5" s="14" customFormat="1" ht="15.75" customHeight="1">
      <c r="A26" s="15"/>
      <c r="B26" s="475"/>
      <c r="C26" s="475"/>
      <c r="D26" s="16"/>
      <c r="E26" s="28"/>
    </row>
    <row r="27" spans="1:5" s="14" customFormat="1" ht="16.5" customHeight="1">
      <c r="A27" s="15"/>
      <c r="B27" s="49">
        <v>820</v>
      </c>
      <c r="C27" s="71">
        <f>60*Головна!B131</f>
        <v>2034</v>
      </c>
      <c r="D27" s="16"/>
      <c r="E27" s="28"/>
    </row>
    <row r="28" spans="1:5" s="14" customFormat="1" ht="16.5" customHeight="1">
      <c r="A28" s="15"/>
      <c r="B28" s="49">
        <v>826</v>
      </c>
      <c r="C28" s="71">
        <f>69*Головна!B131</f>
        <v>2339.1</v>
      </c>
      <c r="D28" s="16"/>
      <c r="E28" s="28"/>
    </row>
    <row r="29" spans="1:5" s="14" customFormat="1" ht="16.5" customHeight="1">
      <c r="A29" s="15"/>
      <c r="B29" s="49">
        <v>904</v>
      </c>
      <c r="C29" s="71">
        <f>113*Головна!B131</f>
        <v>3830.7</v>
      </c>
      <c r="D29" s="16"/>
      <c r="E29" s="28"/>
    </row>
    <row r="30" spans="1:5" s="14" customFormat="1" ht="16.5" customHeight="1">
      <c r="A30" s="15"/>
      <c r="B30" s="49">
        <v>905</v>
      </c>
      <c r="C30" s="71">
        <f>120*Головна!B131</f>
        <v>4068</v>
      </c>
      <c r="D30" s="16"/>
      <c r="E30" s="28"/>
    </row>
    <row r="31" spans="1:5" s="14" customFormat="1" ht="16.5" customHeight="1">
      <c r="A31" s="15"/>
      <c r="B31" s="49">
        <v>921</v>
      </c>
      <c r="C31" s="71">
        <f>190*Головна!B131</f>
        <v>6441</v>
      </c>
      <c r="D31" s="16"/>
      <c r="E31" s="28"/>
    </row>
    <row r="32" spans="1:5" s="14" customFormat="1" ht="16.5" customHeight="1">
      <c r="A32" s="15"/>
      <c r="B32" s="49">
        <v>957</v>
      </c>
      <c r="C32" s="71">
        <f>60*Головна!B131</f>
        <v>2034</v>
      </c>
      <c r="D32" s="16"/>
      <c r="E32" s="28"/>
    </row>
    <row r="33" spans="1:6" s="14" customFormat="1" ht="16.5" customHeight="1">
      <c r="A33" s="15"/>
      <c r="B33" s="49">
        <v>958</v>
      </c>
      <c r="C33" s="71">
        <f>105*Головна!B131</f>
        <v>3559.5</v>
      </c>
      <c r="D33" s="16"/>
      <c r="E33" s="477"/>
      <c r="F33" s="477"/>
    </row>
    <row r="34" spans="1:5" s="14" customFormat="1" ht="16.5" customHeight="1">
      <c r="A34" s="15"/>
      <c r="B34" s="49">
        <v>959</v>
      </c>
      <c r="C34" s="71">
        <f>113*Головна!B131</f>
        <v>3830.7</v>
      </c>
      <c r="D34" s="16"/>
      <c r="E34" s="28"/>
    </row>
    <row r="35" spans="1:8" s="14" customFormat="1" ht="16.5" customHeight="1">
      <c r="A35" s="15"/>
      <c r="B35" s="49">
        <v>968</v>
      </c>
      <c r="C35" s="71">
        <f>95*Головна!B131</f>
        <v>3220.5</v>
      </c>
      <c r="D35" s="16"/>
      <c r="E35" s="16"/>
      <c r="F35" s="66"/>
      <c r="G35" s="16"/>
      <c r="H35" s="28"/>
    </row>
    <row r="36" spans="1:8" s="14" customFormat="1" ht="16.5" customHeight="1">
      <c r="A36" s="15"/>
      <c r="B36" s="49">
        <v>971</v>
      </c>
      <c r="C36" s="71">
        <f>174*Головна!B131</f>
        <v>5898.599999999999</v>
      </c>
      <c r="D36" s="16"/>
      <c r="E36" s="16"/>
      <c r="F36" s="66"/>
      <c r="G36" s="16"/>
      <c r="H36" s="28"/>
    </row>
    <row r="37" spans="1:6" s="14" customFormat="1" ht="16.5" customHeight="1">
      <c r="A37" s="15"/>
      <c r="B37" s="16"/>
      <c r="C37" s="16"/>
      <c r="D37" s="66"/>
      <c r="E37" s="16"/>
      <c r="F37" s="28"/>
    </row>
    <row r="38" spans="1:8" s="14" customFormat="1" ht="12" customHeight="1">
      <c r="A38" s="470"/>
      <c r="B38" s="470"/>
      <c r="C38" s="470"/>
      <c r="D38" s="16"/>
      <c r="E38" s="16"/>
      <c r="F38" s="66"/>
      <c r="G38" s="16"/>
      <c r="H38" s="28"/>
    </row>
    <row r="39" spans="1:8" s="14" customFormat="1" ht="21" customHeight="1">
      <c r="A39" s="476" t="s">
        <v>295</v>
      </c>
      <c r="B39" s="476"/>
      <c r="C39" s="476"/>
      <c r="D39" s="476"/>
      <c r="E39" s="476"/>
      <c r="F39" s="476"/>
      <c r="G39" s="476"/>
      <c r="H39" s="28"/>
    </row>
    <row r="40" spans="1:8" ht="12.75">
      <c r="A40" s="453" t="s">
        <v>296</v>
      </c>
      <c r="B40" s="453"/>
      <c r="C40" s="453"/>
      <c r="D40" s="453"/>
      <c r="E40" s="453"/>
      <c r="F40" s="453"/>
      <c r="G40" s="453"/>
      <c r="H40" s="50" t="s">
        <v>263</v>
      </c>
    </row>
    <row r="41" spans="1:8" s="14" customFormat="1" ht="12.75" customHeight="1">
      <c r="A41" s="40"/>
      <c r="B41" s="40"/>
      <c r="C41" s="40"/>
      <c r="D41" s="40"/>
      <c r="E41" s="17"/>
      <c r="F41" s="17"/>
      <c r="G41" s="17"/>
      <c r="H41" s="28"/>
    </row>
    <row r="42" spans="1:8" s="14" customFormat="1" ht="19.5" customHeight="1">
      <c r="A42" s="467" t="s">
        <v>297</v>
      </c>
      <c r="B42" s="467"/>
      <c r="C42" s="467"/>
      <c r="D42" s="72">
        <f>8*Головна!B131</f>
        <v>271.2</v>
      </c>
      <c r="E42" s="18"/>
      <c r="F42" s="19"/>
      <c r="G42" s="20"/>
      <c r="H42" s="52"/>
    </row>
    <row r="43" spans="1:8" s="14" customFormat="1" ht="19.5" customHeight="1">
      <c r="A43" s="467" t="s">
        <v>298</v>
      </c>
      <c r="B43" s="467"/>
      <c r="C43" s="467"/>
      <c r="D43" s="72">
        <f>38*Головна!B131</f>
        <v>1288.2</v>
      </c>
      <c r="E43" s="18"/>
      <c r="F43" s="19"/>
      <c r="G43" s="20"/>
      <c r="H43" s="28"/>
    </row>
    <row r="44" spans="1:8" s="14" customFormat="1" ht="19.5" customHeight="1">
      <c r="A44" s="465" t="s">
        <v>299</v>
      </c>
      <c r="B44" s="465"/>
      <c r="C44" s="465"/>
      <c r="D44" s="72">
        <f>1*Головна!B131</f>
        <v>33.9</v>
      </c>
      <c r="E44" s="18"/>
      <c r="F44" s="16"/>
      <c r="G44" s="16"/>
      <c r="H44" s="36"/>
    </row>
    <row r="134" spans="1:3" ht="12.75">
      <c r="A134" t="s">
        <v>115</v>
      </c>
      <c r="C134">
        <v>10.7</v>
      </c>
    </row>
  </sheetData>
  <sheetProtection/>
  <mergeCells count="27">
    <mergeCell ref="A1:G1"/>
    <mergeCell ref="E3:G3"/>
    <mergeCell ref="A5:E5"/>
    <mergeCell ref="F5:G6"/>
    <mergeCell ref="A6:E6"/>
    <mergeCell ref="C13:C15"/>
    <mergeCell ref="D13:D15"/>
    <mergeCell ref="A10:D11"/>
    <mergeCell ref="E10:E12"/>
    <mergeCell ref="F10:G11"/>
    <mergeCell ref="A3:D3"/>
    <mergeCell ref="A44:C44"/>
    <mergeCell ref="B25:B26"/>
    <mergeCell ref="C25:C26"/>
    <mergeCell ref="A39:G39"/>
    <mergeCell ref="A40:G40"/>
    <mergeCell ref="E33:F33"/>
    <mergeCell ref="A21:G21"/>
    <mergeCell ref="A20:G20"/>
    <mergeCell ref="A13:A15"/>
    <mergeCell ref="B13:B15"/>
    <mergeCell ref="A42:C42"/>
    <mergeCell ref="A43:C43"/>
    <mergeCell ref="A38:C38"/>
    <mergeCell ref="D22:G22"/>
    <mergeCell ref="A23:C23"/>
    <mergeCell ref="E23:G23"/>
  </mergeCells>
  <hyperlinks>
    <hyperlink ref="G8" location="Главная!A1" display="на главную"/>
    <hyperlink ref="A6:E6" r:id="rId1" display="Смотрите виды и характеристики акрилового камня Montelli® на сайте:"/>
    <hyperlink ref="A21:G21" r:id="rId2" display="посмотреть модели моек с размерами на сайте"/>
    <hyperlink ref="H40" location="Главная!A1" display="на главную"/>
    <hyperlink ref="A40:G40" r:id="rId3" display="Смотрите виды и характеристики сопутствующих материалов на сайте:"/>
  </hyperlinks>
  <printOptions/>
  <pageMargins left="0.52" right="0.31" top="0.21" bottom="0.26" header="0.19" footer="0.24"/>
  <pageSetup horizontalDpi="600" verticalDpi="600" orientation="portrait" paperSize="9" scale="91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0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50390625" style="0" customWidth="1"/>
    <col min="7" max="7" width="11.625" style="0" customWidth="1"/>
    <col min="8" max="8" width="12.50390625" style="0" customWidth="1"/>
  </cols>
  <sheetData>
    <row r="1" spans="1:8" ht="90.75" customHeight="1">
      <c r="A1" s="450"/>
      <c r="B1" s="450"/>
      <c r="C1" s="450"/>
      <c r="D1" s="450"/>
      <c r="E1" s="450"/>
      <c r="F1" s="450"/>
      <c r="G1" s="450"/>
      <c r="H1" s="36"/>
    </row>
    <row r="2" spans="1:8" ht="12" customHeight="1">
      <c r="A2" s="53"/>
      <c r="B2" s="53"/>
      <c r="C2" s="53"/>
      <c r="D2" s="53"/>
      <c r="E2" s="53"/>
      <c r="F2" s="53"/>
      <c r="G2" s="53"/>
      <c r="H2" s="36"/>
    </row>
    <row r="3" spans="1:8" s="11" customFormat="1" ht="16.5" customHeight="1">
      <c r="A3" s="451">
        <f>'[1]Главная'!B2</f>
        <v>42103</v>
      </c>
      <c r="B3" s="451"/>
      <c r="C3" s="10"/>
      <c r="D3" s="10"/>
      <c r="E3" s="478" t="s">
        <v>273</v>
      </c>
      <c r="F3" s="478"/>
      <c r="G3" s="478"/>
      <c r="H3"/>
    </row>
    <row r="4" ht="12.75" customHeight="1">
      <c r="H4" s="11"/>
    </row>
    <row r="5" spans="1:8" s="14" customFormat="1" ht="18" customHeight="1">
      <c r="A5" s="479" t="s">
        <v>302</v>
      </c>
      <c r="B5" s="479"/>
      <c r="C5" s="479"/>
      <c r="D5" s="479"/>
      <c r="E5" s="479"/>
      <c r="F5" s="135"/>
      <c r="G5" s="135"/>
      <c r="H5" s="28"/>
    </row>
    <row r="6" spans="1:8" s="14" customFormat="1" ht="6" customHeight="1">
      <c r="A6" s="56"/>
      <c r="B6" s="56"/>
      <c r="C6" s="56"/>
      <c r="D6" s="56"/>
      <c r="E6" s="56"/>
      <c r="F6" s="54"/>
      <c r="G6" s="54"/>
      <c r="H6" s="28"/>
    </row>
    <row r="7" spans="1:8" s="14" customFormat="1" ht="15" customHeight="1">
      <c r="A7" s="12"/>
      <c r="B7" s="12"/>
      <c r="C7" s="12"/>
      <c r="D7" s="12"/>
      <c r="E7" s="12"/>
      <c r="F7" s="54"/>
      <c r="G7" s="54"/>
      <c r="H7" s="28"/>
    </row>
    <row r="8" spans="1:6" s="14" customFormat="1" ht="14.25" customHeight="1">
      <c r="A8" s="481" t="s">
        <v>277</v>
      </c>
      <c r="B8" s="481"/>
      <c r="C8" s="481"/>
      <c r="D8" s="481"/>
      <c r="E8" s="482" t="s">
        <v>301</v>
      </c>
      <c r="F8" s="52"/>
    </row>
    <row r="9" spans="1:6" s="14" customFormat="1" ht="15.75" customHeight="1">
      <c r="A9" s="481"/>
      <c r="B9" s="481"/>
      <c r="C9" s="481"/>
      <c r="D9" s="481"/>
      <c r="E9" s="483"/>
      <c r="F9" s="28"/>
    </row>
    <row r="10" spans="1:6" s="14" customFormat="1" ht="33.75" customHeight="1">
      <c r="A10" s="41" t="s">
        <v>303</v>
      </c>
      <c r="B10" s="41" t="s">
        <v>283</v>
      </c>
      <c r="C10" s="41" t="s">
        <v>284</v>
      </c>
      <c r="D10" s="41" t="s">
        <v>285</v>
      </c>
      <c r="E10" s="484"/>
      <c r="F10" s="28"/>
    </row>
    <row r="11" spans="1:6" s="14" customFormat="1" ht="19.5" customHeight="1">
      <c r="A11" s="136" t="s">
        <v>139</v>
      </c>
      <c r="B11" s="137">
        <v>6</v>
      </c>
      <c r="C11" s="137">
        <v>720</v>
      </c>
      <c r="D11" s="137">
        <v>2200</v>
      </c>
      <c r="E11" s="138">
        <v>3500</v>
      </c>
      <c r="F11" s="28"/>
    </row>
    <row r="12" spans="1:6" s="14" customFormat="1" ht="19.5" customHeight="1">
      <c r="A12" s="136" t="s">
        <v>140</v>
      </c>
      <c r="B12" s="137">
        <v>12</v>
      </c>
      <c r="C12" s="137">
        <v>760</v>
      </c>
      <c r="D12" s="137">
        <v>2485</v>
      </c>
      <c r="E12" s="138">
        <v>3500</v>
      </c>
      <c r="F12" s="28"/>
    </row>
    <row r="13" spans="1:6" s="14" customFormat="1" ht="19.5" customHeight="1">
      <c r="A13" s="136" t="s">
        <v>141</v>
      </c>
      <c r="B13" s="137">
        <v>6</v>
      </c>
      <c r="C13" s="137">
        <v>720</v>
      </c>
      <c r="D13" s="137">
        <v>2450</v>
      </c>
      <c r="E13" s="138">
        <v>3500</v>
      </c>
      <c r="F13" s="28"/>
    </row>
    <row r="101" spans="1:3" ht="12.75">
      <c r="A101" t="s">
        <v>115</v>
      </c>
      <c r="C101">
        <v>10.7</v>
      </c>
    </row>
  </sheetData>
  <sheetProtection/>
  <mergeCells count="6">
    <mergeCell ref="A8:D9"/>
    <mergeCell ref="E8:E10"/>
    <mergeCell ref="A1:G1"/>
    <mergeCell ref="A3:B3"/>
    <mergeCell ref="E3:G3"/>
    <mergeCell ref="A5:E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J113"/>
  <sheetViews>
    <sheetView zoomScalePageLayoutView="0" workbookViewId="0" topLeftCell="A73">
      <selection activeCell="I89" sqref="I89:I92"/>
    </sheetView>
  </sheetViews>
  <sheetFormatPr defaultColWidth="9.00390625" defaultRowHeight="12.75"/>
  <cols>
    <col min="1" max="1" width="7.50390625" style="0" bestFit="1" customWidth="1"/>
    <col min="2" max="2" width="27.375" style="0" customWidth="1"/>
    <col min="3" max="3" width="4.625" style="0" customWidth="1"/>
    <col min="4" max="4" width="5.125" style="0" customWidth="1"/>
    <col min="9" max="9" width="10.875" style="0" customWidth="1"/>
    <col min="10" max="10" width="10.875" style="8" customWidth="1"/>
    <col min="11" max="11" width="10.875" style="0" customWidth="1"/>
  </cols>
  <sheetData>
    <row r="1" ht="12.75"/>
    <row r="2" ht="12.75"/>
    <row r="3" ht="12.75"/>
    <row r="4" ht="12.75"/>
    <row r="5" ht="12.75"/>
    <row r="6" ht="12.75"/>
    <row r="7" ht="15.75" customHeight="1">
      <c r="A7" s="139" t="s">
        <v>1023</v>
      </c>
    </row>
    <row r="8" ht="6" customHeight="1"/>
    <row r="9" ht="6" customHeight="1"/>
    <row r="10" ht="6" customHeight="1"/>
    <row r="14" spans="1:10" ht="12.75">
      <c r="A14" s="485" t="s">
        <v>279</v>
      </c>
      <c r="B14" s="485" t="s">
        <v>314</v>
      </c>
      <c r="C14" s="485" t="s">
        <v>278</v>
      </c>
      <c r="D14" s="485"/>
      <c r="E14" s="485" t="s">
        <v>732</v>
      </c>
      <c r="F14" s="485"/>
      <c r="G14" s="485"/>
      <c r="H14" s="485" t="s">
        <v>1024</v>
      </c>
      <c r="I14" s="485"/>
      <c r="J14" s="485"/>
    </row>
    <row r="15" spans="1:10" ht="12.75">
      <c r="A15" s="485"/>
      <c r="B15" s="485"/>
      <c r="C15" s="485"/>
      <c r="D15" s="485"/>
      <c r="E15" s="196" t="s">
        <v>667</v>
      </c>
      <c r="F15" s="196" t="s">
        <v>635</v>
      </c>
      <c r="G15" s="196" t="s">
        <v>636</v>
      </c>
      <c r="H15" s="196" t="s">
        <v>112</v>
      </c>
      <c r="I15" s="196" t="s">
        <v>113</v>
      </c>
      <c r="J15" s="196" t="s">
        <v>637</v>
      </c>
    </row>
    <row r="16" spans="1:10" ht="12.75">
      <c r="A16" s="486">
        <v>1</v>
      </c>
      <c r="B16" s="348" t="s">
        <v>1165</v>
      </c>
      <c r="C16" s="194" t="s">
        <v>639</v>
      </c>
      <c r="D16" s="194" t="s">
        <v>640</v>
      </c>
      <c r="E16" s="1"/>
      <c r="F16" s="1"/>
      <c r="G16" s="1"/>
      <c r="H16" s="486">
        <f>135*Головна!$B$131</f>
        <v>4576.5</v>
      </c>
      <c r="I16" s="486">
        <f>153*Головна!$B$131</f>
        <v>5186.7</v>
      </c>
      <c r="J16" s="486">
        <f>205*Головна!$B$131</f>
        <v>6949.5</v>
      </c>
    </row>
    <row r="17" spans="1:10" ht="12.75">
      <c r="A17" s="486"/>
      <c r="B17" s="197" t="s">
        <v>163</v>
      </c>
      <c r="C17" s="198" t="s">
        <v>639</v>
      </c>
      <c r="D17" s="198" t="s">
        <v>640</v>
      </c>
      <c r="E17" s="199"/>
      <c r="F17" s="199"/>
      <c r="G17" s="199"/>
      <c r="H17" s="486"/>
      <c r="I17" s="486"/>
      <c r="J17" s="486"/>
    </row>
    <row r="18" spans="1:10" ht="12.75">
      <c r="A18" s="486"/>
      <c r="B18" s="200" t="s">
        <v>164</v>
      </c>
      <c r="C18" s="194" t="s">
        <v>639</v>
      </c>
      <c r="D18" s="194"/>
      <c r="E18" s="1"/>
      <c r="F18" s="1"/>
      <c r="G18" s="1"/>
      <c r="H18" s="486"/>
      <c r="I18" s="486"/>
      <c r="J18" s="486"/>
    </row>
    <row r="19" spans="1:10" ht="12.75">
      <c r="A19" s="486"/>
      <c r="B19" s="355" t="s">
        <v>1166</v>
      </c>
      <c r="C19" s="198" t="s">
        <v>639</v>
      </c>
      <c r="D19" s="198" t="s">
        <v>640</v>
      </c>
      <c r="E19" s="199"/>
      <c r="F19" s="199"/>
      <c r="G19" s="199"/>
      <c r="H19" s="486"/>
      <c r="I19" s="486"/>
      <c r="J19" s="486"/>
    </row>
    <row r="20" spans="1:10" ht="12.75">
      <c r="A20" s="486"/>
      <c r="B20" s="348" t="s">
        <v>1167</v>
      </c>
      <c r="C20" s="194" t="s">
        <v>639</v>
      </c>
      <c r="D20" s="194" t="s">
        <v>640</v>
      </c>
      <c r="E20" s="1"/>
      <c r="F20" s="1"/>
      <c r="G20" s="1"/>
      <c r="H20" s="486"/>
      <c r="I20" s="486"/>
      <c r="J20" s="486"/>
    </row>
    <row r="21" spans="1:10" ht="12.75">
      <c r="A21" s="488">
        <v>2</v>
      </c>
      <c r="B21" s="201" t="s">
        <v>158</v>
      </c>
      <c r="C21" s="198"/>
      <c r="D21" s="198" t="s">
        <v>640</v>
      </c>
      <c r="E21" s="199"/>
      <c r="F21" s="199"/>
      <c r="G21" s="199"/>
      <c r="H21" s="488">
        <f>160*Головна!$B$131</f>
        <v>5424</v>
      </c>
      <c r="I21" s="488">
        <f>180*Головна!$B$131</f>
        <v>6102</v>
      </c>
      <c r="J21" s="488">
        <f>240*Головна!$B$131</f>
        <v>8136</v>
      </c>
    </row>
    <row r="22" spans="1:10" ht="12.75">
      <c r="A22" s="488"/>
      <c r="B22" s="202" t="s">
        <v>641</v>
      </c>
      <c r="C22" s="203" t="s">
        <v>639</v>
      </c>
      <c r="D22" s="203" t="s">
        <v>640</v>
      </c>
      <c r="E22" s="4"/>
      <c r="F22" s="4"/>
      <c r="G22" s="4"/>
      <c r="H22" s="488"/>
      <c r="I22" s="488"/>
      <c r="J22" s="488"/>
    </row>
    <row r="23" spans="1:10" ht="12.75">
      <c r="A23" s="488"/>
      <c r="B23" s="201" t="s">
        <v>642</v>
      </c>
      <c r="C23" s="198" t="s">
        <v>639</v>
      </c>
      <c r="D23" s="198" t="s">
        <v>640</v>
      </c>
      <c r="E23" s="199"/>
      <c r="F23" s="199"/>
      <c r="G23" s="199"/>
      <c r="H23" s="488"/>
      <c r="I23" s="488"/>
      <c r="J23" s="488"/>
    </row>
    <row r="24" spans="1:10" ht="12.75">
      <c r="A24" s="488"/>
      <c r="B24" s="390" t="s">
        <v>1168</v>
      </c>
      <c r="C24" s="203"/>
      <c r="D24" s="203" t="s">
        <v>640</v>
      </c>
      <c r="E24" s="4"/>
      <c r="F24" s="4"/>
      <c r="G24" s="4"/>
      <c r="H24" s="488"/>
      <c r="I24" s="488"/>
      <c r="J24" s="488"/>
    </row>
    <row r="25" spans="1:10" ht="12.75">
      <c r="A25" s="488"/>
      <c r="B25" s="349" t="s">
        <v>1169</v>
      </c>
      <c r="C25" s="198" t="s">
        <v>639</v>
      </c>
      <c r="D25" s="198" t="s">
        <v>640</v>
      </c>
      <c r="E25" s="199"/>
      <c r="F25" s="199"/>
      <c r="G25" s="199"/>
      <c r="H25" s="488"/>
      <c r="I25" s="488"/>
      <c r="J25" s="488"/>
    </row>
    <row r="26" spans="1:10" ht="12.75">
      <c r="A26" s="488"/>
      <c r="B26" s="390" t="s">
        <v>1170</v>
      </c>
      <c r="C26" s="203"/>
      <c r="D26" s="203" t="s">
        <v>640</v>
      </c>
      <c r="E26" s="4"/>
      <c r="F26" s="4"/>
      <c r="G26" s="4"/>
      <c r="H26" s="488"/>
      <c r="I26" s="488"/>
      <c r="J26" s="488"/>
    </row>
    <row r="27" spans="1:10" ht="12.75">
      <c r="A27" s="488"/>
      <c r="B27" s="349" t="s">
        <v>643</v>
      </c>
      <c r="C27" s="198"/>
      <c r="D27" s="198" t="s">
        <v>640</v>
      </c>
      <c r="E27" s="199"/>
      <c r="F27" s="199"/>
      <c r="G27" s="199"/>
      <c r="H27" s="488"/>
      <c r="I27" s="488"/>
      <c r="J27" s="488"/>
    </row>
    <row r="28" spans="1:10" ht="12.75">
      <c r="A28" s="488"/>
      <c r="B28" s="202" t="s">
        <v>644</v>
      </c>
      <c r="C28" s="203" t="s">
        <v>639</v>
      </c>
      <c r="D28" s="203" t="s">
        <v>640</v>
      </c>
      <c r="E28" s="4"/>
      <c r="F28" s="4"/>
      <c r="G28" s="4"/>
      <c r="H28" s="488"/>
      <c r="I28" s="488"/>
      <c r="J28" s="488"/>
    </row>
    <row r="29" spans="1:10" ht="12.75">
      <c r="A29" s="488"/>
      <c r="B29" s="201" t="s">
        <v>645</v>
      </c>
      <c r="C29" s="198" t="s">
        <v>639</v>
      </c>
      <c r="D29" s="198" t="s">
        <v>640</v>
      </c>
      <c r="E29" s="199"/>
      <c r="F29" s="199"/>
      <c r="G29" s="199"/>
      <c r="H29" s="488"/>
      <c r="I29" s="488"/>
      <c r="J29" s="488"/>
    </row>
    <row r="30" spans="1:10" ht="12.75">
      <c r="A30" s="488"/>
      <c r="B30" s="202" t="s">
        <v>646</v>
      </c>
      <c r="C30" s="203"/>
      <c r="D30" s="203" t="s">
        <v>640</v>
      </c>
      <c r="E30" s="4"/>
      <c r="F30" s="4"/>
      <c r="G30" s="4"/>
      <c r="H30" s="488"/>
      <c r="I30" s="488"/>
      <c r="J30" s="488"/>
    </row>
    <row r="31" spans="1:10" ht="12.75">
      <c r="A31" s="488"/>
      <c r="B31" s="201" t="s">
        <v>1025</v>
      </c>
      <c r="C31" s="198"/>
      <c r="D31" s="198" t="s">
        <v>640</v>
      </c>
      <c r="E31" s="199"/>
      <c r="F31" s="199"/>
      <c r="G31" s="199"/>
      <c r="H31" s="488"/>
      <c r="I31" s="488"/>
      <c r="J31" s="488"/>
    </row>
    <row r="32" spans="1:10" ht="12.75">
      <c r="A32" s="488"/>
      <c r="B32" s="390" t="s">
        <v>1026</v>
      </c>
      <c r="C32" s="203"/>
      <c r="D32" s="203" t="s">
        <v>640</v>
      </c>
      <c r="E32" s="4"/>
      <c r="F32" s="4"/>
      <c r="G32" s="4"/>
      <c r="H32" s="488"/>
      <c r="I32" s="488"/>
      <c r="J32" s="488"/>
    </row>
    <row r="33" spans="1:10" ht="12.75">
      <c r="A33" s="486">
        <v>3</v>
      </c>
      <c r="B33" s="349" t="s">
        <v>1027</v>
      </c>
      <c r="C33" s="198"/>
      <c r="D33" s="198" t="s">
        <v>640</v>
      </c>
      <c r="E33" s="199"/>
      <c r="F33" s="199"/>
      <c r="G33" s="199"/>
      <c r="H33" s="486">
        <f>175*Головна!$B$131</f>
        <v>5932.5</v>
      </c>
      <c r="I33" s="486">
        <f>195*Головна!$B$131</f>
        <v>6610.5</v>
      </c>
      <c r="J33" s="486">
        <f>265*Головна!$B$131</f>
        <v>8983.5</v>
      </c>
    </row>
    <row r="34" spans="1:10" ht="12.75">
      <c r="A34" s="486"/>
      <c r="B34" s="4" t="s">
        <v>1171</v>
      </c>
      <c r="C34" s="203" t="s">
        <v>639</v>
      </c>
      <c r="D34" s="1"/>
      <c r="E34" s="1"/>
      <c r="F34" s="1"/>
      <c r="G34" s="1"/>
      <c r="H34" s="486"/>
      <c r="I34" s="486"/>
      <c r="J34" s="486"/>
    </row>
    <row r="35" spans="1:10" ht="12.75">
      <c r="A35" s="486"/>
      <c r="B35" s="349" t="s">
        <v>1135</v>
      </c>
      <c r="C35" s="198" t="s">
        <v>639</v>
      </c>
      <c r="D35" s="199"/>
      <c r="E35" s="199"/>
      <c r="F35" s="199"/>
      <c r="G35" s="199"/>
      <c r="H35" s="486"/>
      <c r="I35" s="486"/>
      <c r="J35" s="486"/>
    </row>
    <row r="36" spans="1:10" ht="12.75">
      <c r="A36" s="486"/>
      <c r="B36" s="350" t="s">
        <v>647</v>
      </c>
      <c r="C36" s="351" t="s">
        <v>639</v>
      </c>
      <c r="D36" s="37"/>
      <c r="E36" s="37"/>
      <c r="F36" s="37"/>
      <c r="G36" s="37"/>
      <c r="H36" s="486"/>
      <c r="I36" s="486"/>
      <c r="J36" s="486"/>
    </row>
    <row r="37" spans="1:10" ht="12.75">
      <c r="A37" s="486"/>
      <c r="B37" s="201" t="s">
        <v>159</v>
      </c>
      <c r="C37" s="198"/>
      <c r="D37" s="198" t="s">
        <v>640</v>
      </c>
      <c r="E37" s="199"/>
      <c r="F37" s="199"/>
      <c r="G37" s="199"/>
      <c r="H37" s="486"/>
      <c r="I37" s="486"/>
      <c r="J37" s="486"/>
    </row>
    <row r="38" spans="1:10" ht="12.75">
      <c r="A38" s="486"/>
      <c r="B38" s="350" t="s">
        <v>648</v>
      </c>
      <c r="C38" s="351" t="s">
        <v>639</v>
      </c>
      <c r="D38" s="351" t="s">
        <v>640</v>
      </c>
      <c r="E38" s="37"/>
      <c r="F38" s="37"/>
      <c r="G38" s="37"/>
      <c r="H38" s="486"/>
      <c r="I38" s="486"/>
      <c r="J38" s="486"/>
    </row>
    <row r="39" spans="1:10" ht="12.75">
      <c r="A39" s="486"/>
      <c r="B39" s="349" t="s">
        <v>1172</v>
      </c>
      <c r="C39" s="198"/>
      <c r="D39" s="198" t="s">
        <v>640</v>
      </c>
      <c r="E39" s="199"/>
      <c r="F39" s="199"/>
      <c r="G39" s="199"/>
      <c r="H39" s="486"/>
      <c r="I39" s="486"/>
      <c r="J39" s="486"/>
    </row>
    <row r="40" spans="1:10" ht="12.75">
      <c r="A40" s="486"/>
      <c r="B40" s="4" t="s">
        <v>1028</v>
      </c>
      <c r="C40" s="203" t="s">
        <v>639</v>
      </c>
      <c r="D40" s="1"/>
      <c r="E40" s="1"/>
      <c r="F40" s="1"/>
      <c r="G40" s="1"/>
      <c r="H40" s="486"/>
      <c r="I40" s="486"/>
      <c r="J40" s="486"/>
    </row>
    <row r="41" spans="1:10" ht="12.75">
      <c r="A41" s="486"/>
      <c r="B41" s="199" t="s">
        <v>1173</v>
      </c>
      <c r="C41" s="199"/>
      <c r="D41" s="198" t="s">
        <v>640</v>
      </c>
      <c r="E41" s="199"/>
      <c r="F41" s="199"/>
      <c r="G41" s="199"/>
      <c r="H41" s="486"/>
      <c r="I41" s="486"/>
      <c r="J41" s="486"/>
    </row>
    <row r="42" spans="1:10" ht="12.75">
      <c r="A42" s="486"/>
      <c r="B42" s="4" t="s">
        <v>1174</v>
      </c>
      <c r="C42" s="1"/>
      <c r="D42" s="203" t="s">
        <v>640</v>
      </c>
      <c r="E42" s="1"/>
      <c r="F42" s="1"/>
      <c r="G42" s="1"/>
      <c r="H42" s="486"/>
      <c r="I42" s="486"/>
      <c r="J42" s="486"/>
    </row>
    <row r="43" spans="1:10" ht="12.75">
      <c r="A43" s="486"/>
      <c r="B43" s="199" t="s">
        <v>1175</v>
      </c>
      <c r="C43" s="199"/>
      <c r="D43" s="198" t="s">
        <v>640</v>
      </c>
      <c r="E43" s="199"/>
      <c r="F43" s="199"/>
      <c r="G43" s="199"/>
      <c r="H43" s="486"/>
      <c r="I43" s="486"/>
      <c r="J43" s="486"/>
    </row>
    <row r="44" spans="1:10" ht="12.75">
      <c r="A44" s="486"/>
      <c r="B44" s="4" t="s">
        <v>1176</v>
      </c>
      <c r="C44" s="1"/>
      <c r="D44" s="203" t="s">
        <v>640</v>
      </c>
      <c r="E44" s="1"/>
      <c r="F44" s="1"/>
      <c r="G44" s="1"/>
      <c r="H44" s="486"/>
      <c r="I44" s="486"/>
      <c r="J44" s="486"/>
    </row>
    <row r="45" spans="1:10" ht="12.75">
      <c r="A45" s="486"/>
      <c r="B45" s="201" t="s">
        <v>649</v>
      </c>
      <c r="C45" s="198" t="s">
        <v>639</v>
      </c>
      <c r="D45" s="198" t="s">
        <v>640</v>
      </c>
      <c r="E45" s="199"/>
      <c r="F45" s="199"/>
      <c r="G45" s="199"/>
      <c r="H45" s="486"/>
      <c r="I45" s="486"/>
      <c r="J45" s="486"/>
    </row>
    <row r="46" spans="1:10" ht="12.75">
      <c r="A46" s="486"/>
      <c r="B46" s="4" t="s">
        <v>665</v>
      </c>
      <c r="C46" s="1"/>
      <c r="D46" s="203" t="s">
        <v>640</v>
      </c>
      <c r="E46" s="1"/>
      <c r="F46" s="1"/>
      <c r="G46" s="1"/>
      <c r="H46" s="486"/>
      <c r="I46" s="486"/>
      <c r="J46" s="486"/>
    </row>
    <row r="47" spans="1:10" ht="12.75">
      <c r="A47" s="486"/>
      <c r="B47" s="201" t="s">
        <v>1177</v>
      </c>
      <c r="C47" s="198"/>
      <c r="D47" s="198" t="s">
        <v>640</v>
      </c>
      <c r="E47" s="199"/>
      <c r="F47" s="199"/>
      <c r="G47" s="199"/>
      <c r="H47" s="486"/>
      <c r="I47" s="486"/>
      <c r="J47" s="486"/>
    </row>
    <row r="48" spans="1:10" ht="12.75">
      <c r="A48" s="486"/>
      <c r="B48" s="4" t="s">
        <v>1030</v>
      </c>
      <c r="C48" s="1"/>
      <c r="D48" s="203" t="s">
        <v>640</v>
      </c>
      <c r="E48" s="1"/>
      <c r="F48" s="1"/>
      <c r="G48" s="1"/>
      <c r="H48" s="486"/>
      <c r="I48" s="486"/>
      <c r="J48" s="486"/>
    </row>
    <row r="49" spans="1:10" ht="12.75">
      <c r="A49" s="486"/>
      <c r="B49" s="201" t="s">
        <v>172</v>
      </c>
      <c r="C49" s="198" t="s">
        <v>639</v>
      </c>
      <c r="D49" s="198"/>
      <c r="E49" s="199"/>
      <c r="F49" s="199"/>
      <c r="G49" s="199"/>
      <c r="H49" s="486"/>
      <c r="I49" s="486"/>
      <c r="J49" s="486"/>
    </row>
    <row r="50" spans="1:10" ht="12.75">
      <c r="A50" s="486"/>
      <c r="B50" s="4" t="s">
        <v>650</v>
      </c>
      <c r="C50" s="1"/>
      <c r="D50" s="203" t="s">
        <v>640</v>
      </c>
      <c r="E50" s="1"/>
      <c r="F50" s="1"/>
      <c r="G50" s="1"/>
      <c r="H50" s="486"/>
      <c r="I50" s="486"/>
      <c r="J50" s="486"/>
    </row>
    <row r="51" spans="1:10" ht="12.75">
      <c r="A51" s="486"/>
      <c r="B51" s="201" t="s">
        <v>651</v>
      </c>
      <c r="C51" s="198" t="s">
        <v>639</v>
      </c>
      <c r="D51" s="198" t="s">
        <v>640</v>
      </c>
      <c r="E51" s="199"/>
      <c r="F51" s="199"/>
      <c r="G51" s="199"/>
      <c r="H51" s="486"/>
      <c r="I51" s="486"/>
      <c r="J51" s="486"/>
    </row>
    <row r="52" spans="1:10" ht="12.75">
      <c r="A52" s="486"/>
      <c r="B52" s="4" t="s">
        <v>1178</v>
      </c>
      <c r="C52" s="194" t="s">
        <v>639</v>
      </c>
      <c r="D52" s="203"/>
      <c r="E52" s="1"/>
      <c r="F52" s="1"/>
      <c r="G52" s="1"/>
      <c r="H52" s="486"/>
      <c r="I52" s="486"/>
      <c r="J52" s="486"/>
    </row>
    <row r="53" spans="1:10" ht="12.75">
      <c r="A53" s="488">
        <v>4</v>
      </c>
      <c r="B53" s="349" t="s">
        <v>1029</v>
      </c>
      <c r="C53" s="198"/>
      <c r="D53" s="198" t="s">
        <v>640</v>
      </c>
      <c r="E53" s="199"/>
      <c r="F53" s="199"/>
      <c r="G53" s="199"/>
      <c r="H53" s="488">
        <f>200*Головна!$B$131</f>
        <v>6780</v>
      </c>
      <c r="I53" s="488">
        <f>252*Головна!$B$131</f>
        <v>8542.8</v>
      </c>
      <c r="J53" s="488">
        <f>355*Головна!$B$131</f>
        <v>12034.5</v>
      </c>
    </row>
    <row r="54" spans="1:10" ht="12.75">
      <c r="A54" s="488"/>
      <c r="B54" s="4" t="s">
        <v>1033</v>
      </c>
      <c r="C54" s="194" t="s">
        <v>639</v>
      </c>
      <c r="D54" s="203"/>
      <c r="E54" s="1"/>
      <c r="F54" s="1"/>
      <c r="G54" s="1"/>
      <c r="H54" s="488"/>
      <c r="I54" s="488"/>
      <c r="J54" s="488"/>
    </row>
    <row r="55" spans="1:10" ht="12.75">
      <c r="A55" s="488"/>
      <c r="B55" s="349" t="s">
        <v>652</v>
      </c>
      <c r="C55" s="198" t="s">
        <v>639</v>
      </c>
      <c r="D55" s="198" t="s">
        <v>640</v>
      </c>
      <c r="E55" s="199"/>
      <c r="F55" s="199"/>
      <c r="G55" s="199"/>
      <c r="H55" s="488"/>
      <c r="I55" s="488"/>
      <c r="J55" s="488"/>
    </row>
    <row r="56" spans="1:10" ht="12.75">
      <c r="A56" s="488"/>
      <c r="B56" s="4" t="s">
        <v>653</v>
      </c>
      <c r="C56" s="194"/>
      <c r="D56" s="203" t="s">
        <v>640</v>
      </c>
      <c r="E56" s="1"/>
      <c r="F56" s="1"/>
      <c r="G56" s="1"/>
      <c r="H56" s="488"/>
      <c r="I56" s="488"/>
      <c r="J56" s="488"/>
    </row>
    <row r="57" spans="1:10" ht="12.75">
      <c r="A57" s="488"/>
      <c r="B57" s="349" t="s">
        <v>654</v>
      </c>
      <c r="C57" s="198"/>
      <c r="D57" s="198" t="s">
        <v>640</v>
      </c>
      <c r="E57" s="199"/>
      <c r="F57" s="199"/>
      <c r="G57" s="199"/>
      <c r="H57" s="488"/>
      <c r="I57" s="488"/>
      <c r="J57" s="488"/>
    </row>
    <row r="58" spans="1:10" ht="12.75">
      <c r="A58" s="488"/>
      <c r="B58" s="4" t="s">
        <v>1179</v>
      </c>
      <c r="C58" s="194"/>
      <c r="D58" s="203" t="s">
        <v>640</v>
      </c>
      <c r="E58" s="1"/>
      <c r="F58" s="1"/>
      <c r="G58" s="1"/>
      <c r="H58" s="488"/>
      <c r="I58" s="488"/>
      <c r="J58" s="488"/>
    </row>
    <row r="59" spans="1:10" ht="12.75">
      <c r="A59" s="488"/>
      <c r="B59" s="349" t="s">
        <v>659</v>
      </c>
      <c r="C59" s="198"/>
      <c r="D59" s="198" t="s">
        <v>640</v>
      </c>
      <c r="E59" s="199"/>
      <c r="F59" s="199"/>
      <c r="G59" s="199"/>
      <c r="H59" s="488"/>
      <c r="I59" s="488"/>
      <c r="J59" s="488"/>
    </row>
    <row r="60" spans="1:10" ht="12.75">
      <c r="A60" s="488"/>
      <c r="B60" s="4" t="s">
        <v>1136</v>
      </c>
      <c r="C60" s="194"/>
      <c r="D60" s="203" t="s">
        <v>640</v>
      </c>
      <c r="E60" s="1"/>
      <c r="F60" s="1"/>
      <c r="G60" s="1"/>
      <c r="H60" s="488"/>
      <c r="I60" s="488"/>
      <c r="J60" s="488"/>
    </row>
    <row r="61" spans="1:10" ht="12.75">
      <c r="A61" s="488"/>
      <c r="B61" s="349" t="s">
        <v>1180</v>
      </c>
      <c r="C61" s="198"/>
      <c r="D61" s="198" t="s">
        <v>640</v>
      </c>
      <c r="E61" s="199"/>
      <c r="F61" s="199"/>
      <c r="G61" s="199"/>
      <c r="H61" s="488"/>
      <c r="I61" s="488"/>
      <c r="J61" s="488"/>
    </row>
    <row r="62" spans="1:10" ht="12.75">
      <c r="A62" s="488"/>
      <c r="B62" s="4" t="s">
        <v>655</v>
      </c>
      <c r="C62" s="194"/>
      <c r="D62" s="203" t="s">
        <v>640</v>
      </c>
      <c r="E62" s="1"/>
      <c r="F62" s="1"/>
      <c r="G62" s="1"/>
      <c r="H62" s="488"/>
      <c r="I62" s="488"/>
      <c r="J62" s="488"/>
    </row>
    <row r="63" spans="1:10" ht="12.75">
      <c r="A63" s="488"/>
      <c r="B63" s="349" t="s">
        <v>1181</v>
      </c>
      <c r="C63" s="198"/>
      <c r="D63" s="198" t="s">
        <v>640</v>
      </c>
      <c r="E63" s="199"/>
      <c r="F63" s="199"/>
      <c r="G63" s="199"/>
      <c r="H63" s="488"/>
      <c r="I63" s="488"/>
      <c r="J63" s="488"/>
    </row>
    <row r="64" spans="1:10" ht="12.75">
      <c r="A64" s="488"/>
      <c r="B64" s="4" t="s">
        <v>1182</v>
      </c>
      <c r="C64" s="194" t="s">
        <v>639</v>
      </c>
      <c r="D64" s="203" t="s">
        <v>640</v>
      </c>
      <c r="E64" s="1"/>
      <c r="F64" s="1"/>
      <c r="G64" s="1"/>
      <c r="H64" s="488"/>
      <c r="I64" s="488"/>
      <c r="J64" s="488"/>
    </row>
    <row r="65" spans="1:10" ht="12.75">
      <c r="A65" s="488"/>
      <c r="B65" s="349" t="s">
        <v>656</v>
      </c>
      <c r="C65" s="198"/>
      <c r="D65" s="198" t="s">
        <v>640</v>
      </c>
      <c r="E65" s="199"/>
      <c r="F65" s="199"/>
      <c r="G65" s="199"/>
      <c r="H65" s="488"/>
      <c r="I65" s="488"/>
      <c r="J65" s="488"/>
    </row>
    <row r="66" spans="1:10" ht="12.75">
      <c r="A66" s="488"/>
      <c r="B66" s="4" t="s">
        <v>1183</v>
      </c>
      <c r="C66" s="194" t="s">
        <v>639</v>
      </c>
      <c r="D66" s="203" t="s">
        <v>640</v>
      </c>
      <c r="E66" s="1"/>
      <c r="F66" s="1"/>
      <c r="G66" s="1"/>
      <c r="H66" s="488"/>
      <c r="I66" s="488"/>
      <c r="J66" s="488"/>
    </row>
    <row r="67" spans="1:10" ht="12.75">
      <c r="A67" s="488"/>
      <c r="B67" s="349" t="s">
        <v>1184</v>
      </c>
      <c r="C67" s="198" t="s">
        <v>639</v>
      </c>
      <c r="D67" s="198"/>
      <c r="E67" s="199"/>
      <c r="F67" s="199"/>
      <c r="G67" s="199"/>
      <c r="H67" s="488"/>
      <c r="I67" s="488"/>
      <c r="J67" s="488"/>
    </row>
    <row r="68" spans="1:10" ht="12.75">
      <c r="A68" s="488"/>
      <c r="B68" s="4" t="s">
        <v>1185</v>
      </c>
      <c r="C68" s="194"/>
      <c r="D68" s="203" t="s">
        <v>640</v>
      </c>
      <c r="E68" s="1"/>
      <c r="F68" s="1"/>
      <c r="G68" s="1"/>
      <c r="H68" s="488"/>
      <c r="I68" s="488"/>
      <c r="J68" s="488"/>
    </row>
    <row r="69" spans="1:10" ht="12.75">
      <c r="A69" s="488"/>
      <c r="B69" s="349" t="s">
        <v>1186</v>
      </c>
      <c r="C69" s="198"/>
      <c r="D69" s="198" t="s">
        <v>640</v>
      </c>
      <c r="E69" s="199"/>
      <c r="F69" s="199"/>
      <c r="G69" s="199"/>
      <c r="H69" s="488"/>
      <c r="I69" s="488"/>
      <c r="J69" s="488"/>
    </row>
    <row r="70" spans="1:10" ht="12.75">
      <c r="A70" s="488"/>
      <c r="B70" s="4" t="s">
        <v>1187</v>
      </c>
      <c r="C70" s="194"/>
      <c r="D70" s="203" t="s">
        <v>640</v>
      </c>
      <c r="E70" s="1"/>
      <c r="F70" s="1"/>
      <c r="G70" s="1"/>
      <c r="H70" s="488"/>
      <c r="I70" s="488"/>
      <c r="J70" s="488"/>
    </row>
    <row r="71" spans="1:10" ht="12.75">
      <c r="A71" s="488"/>
      <c r="B71" s="349" t="s">
        <v>1188</v>
      </c>
      <c r="C71" s="198"/>
      <c r="D71" s="198" t="s">
        <v>640</v>
      </c>
      <c r="E71" s="199"/>
      <c r="F71" s="199"/>
      <c r="G71" s="199"/>
      <c r="H71" s="488"/>
      <c r="I71" s="488"/>
      <c r="J71" s="488"/>
    </row>
    <row r="72" spans="1:10" ht="12.75">
      <c r="A72" s="488"/>
      <c r="B72" s="4" t="s">
        <v>1031</v>
      </c>
      <c r="C72" s="194" t="s">
        <v>639</v>
      </c>
      <c r="D72" s="203"/>
      <c r="E72" s="1"/>
      <c r="F72" s="1"/>
      <c r="G72" s="1"/>
      <c r="H72" s="488"/>
      <c r="I72" s="488"/>
      <c r="J72" s="488"/>
    </row>
    <row r="73" spans="1:10" ht="12.75">
      <c r="A73" s="488"/>
      <c r="B73" s="199" t="s">
        <v>1032</v>
      </c>
      <c r="C73" s="198"/>
      <c r="D73" s="198" t="s">
        <v>640</v>
      </c>
      <c r="E73" s="199"/>
      <c r="F73" s="199"/>
      <c r="G73" s="199"/>
      <c r="H73" s="488"/>
      <c r="I73" s="488"/>
      <c r="J73" s="488"/>
    </row>
    <row r="74" spans="1:10" ht="12.75">
      <c r="A74" s="486">
        <v>5</v>
      </c>
      <c r="B74" s="4" t="s">
        <v>657</v>
      </c>
      <c r="C74" s="194"/>
      <c r="D74" s="203" t="s">
        <v>640</v>
      </c>
      <c r="E74" s="1"/>
      <c r="F74" s="1"/>
      <c r="G74" s="1"/>
      <c r="H74" s="487">
        <f>225*Головна!$B$131</f>
        <v>7627.5</v>
      </c>
      <c r="I74" s="487">
        <f>280*Головна!$B$131</f>
        <v>9492</v>
      </c>
      <c r="J74" s="487">
        <f>375*Головна!$B$131</f>
        <v>12712.5</v>
      </c>
    </row>
    <row r="75" spans="1:10" ht="12.75">
      <c r="A75" s="486"/>
      <c r="B75" s="199" t="s">
        <v>1034</v>
      </c>
      <c r="C75" s="198"/>
      <c r="D75" s="198" t="s">
        <v>640</v>
      </c>
      <c r="E75" s="199"/>
      <c r="F75" s="199"/>
      <c r="G75" s="199"/>
      <c r="H75" s="487"/>
      <c r="I75" s="487"/>
      <c r="J75" s="487"/>
    </row>
    <row r="76" spans="1:10" ht="12.75">
      <c r="A76" s="486"/>
      <c r="B76" s="4" t="s">
        <v>1189</v>
      </c>
      <c r="C76" s="194"/>
      <c r="D76" s="203" t="s">
        <v>640</v>
      </c>
      <c r="E76" s="1"/>
      <c r="F76" s="1"/>
      <c r="G76" s="1"/>
      <c r="H76" s="487"/>
      <c r="I76" s="487"/>
      <c r="J76" s="487"/>
    </row>
    <row r="77" spans="1:10" ht="12.75">
      <c r="A77" s="486"/>
      <c r="B77" s="199" t="s">
        <v>1190</v>
      </c>
      <c r="C77" s="198"/>
      <c r="D77" s="198" t="s">
        <v>640</v>
      </c>
      <c r="E77" s="199"/>
      <c r="F77" s="199"/>
      <c r="G77" s="199"/>
      <c r="H77" s="487"/>
      <c r="I77" s="487"/>
      <c r="J77" s="487"/>
    </row>
    <row r="78" spans="1:10" ht="12.75">
      <c r="A78" s="486"/>
      <c r="B78" s="4" t="s">
        <v>1191</v>
      </c>
      <c r="C78" s="194"/>
      <c r="D78" s="203" t="s">
        <v>640</v>
      </c>
      <c r="E78" s="1"/>
      <c r="F78" s="1"/>
      <c r="G78" s="1"/>
      <c r="H78" s="487"/>
      <c r="I78" s="487"/>
      <c r="J78" s="487"/>
    </row>
    <row r="79" spans="1:10" ht="12.75">
      <c r="A79" s="486"/>
      <c r="B79" s="199" t="s">
        <v>1192</v>
      </c>
      <c r="C79" s="198"/>
      <c r="D79" s="198" t="s">
        <v>640</v>
      </c>
      <c r="E79" s="199"/>
      <c r="F79" s="199"/>
      <c r="G79" s="199"/>
      <c r="H79" s="487"/>
      <c r="I79" s="487"/>
      <c r="J79" s="487"/>
    </row>
    <row r="80" spans="1:10" ht="12.75">
      <c r="A80" s="486"/>
      <c r="B80" s="4" t="s">
        <v>1193</v>
      </c>
      <c r="C80" s="194"/>
      <c r="D80" s="203" t="s">
        <v>640</v>
      </c>
      <c r="E80" s="1"/>
      <c r="F80" s="1"/>
      <c r="G80" s="1"/>
      <c r="H80" s="487"/>
      <c r="I80" s="487"/>
      <c r="J80" s="487"/>
    </row>
    <row r="81" spans="1:10" ht="12.75">
      <c r="A81" s="486"/>
      <c r="B81" s="199" t="s">
        <v>658</v>
      </c>
      <c r="C81" s="198"/>
      <c r="D81" s="198" t="s">
        <v>640</v>
      </c>
      <c r="E81" s="199"/>
      <c r="F81" s="199"/>
      <c r="G81" s="199"/>
      <c r="H81" s="487"/>
      <c r="I81" s="487"/>
      <c r="J81" s="487"/>
    </row>
    <row r="82" spans="1:10" ht="12.75">
      <c r="A82" s="486"/>
      <c r="B82" s="4" t="s">
        <v>660</v>
      </c>
      <c r="C82" s="194"/>
      <c r="D82" s="203" t="s">
        <v>640</v>
      </c>
      <c r="E82" s="1"/>
      <c r="F82" s="1"/>
      <c r="G82" s="1"/>
      <c r="H82" s="487"/>
      <c r="I82" s="487"/>
      <c r="J82" s="487"/>
    </row>
    <row r="83" spans="1:10" ht="12.75">
      <c r="A83" s="486"/>
      <c r="B83" s="199" t="s">
        <v>1035</v>
      </c>
      <c r="C83" s="198"/>
      <c r="D83" s="198" t="s">
        <v>640</v>
      </c>
      <c r="E83" s="199"/>
      <c r="F83" s="199"/>
      <c r="G83" s="199"/>
      <c r="H83" s="487"/>
      <c r="I83" s="487"/>
      <c r="J83" s="487"/>
    </row>
    <row r="84" spans="1:10" ht="12.75">
      <c r="A84" s="486"/>
      <c r="B84" s="4" t="s">
        <v>661</v>
      </c>
      <c r="C84" s="194"/>
      <c r="D84" s="203" t="s">
        <v>640</v>
      </c>
      <c r="E84" s="352"/>
      <c r="F84" s="352"/>
      <c r="G84" s="1"/>
      <c r="H84" s="487"/>
      <c r="I84" s="487"/>
      <c r="J84" s="487"/>
    </row>
    <row r="85" spans="1:10" ht="12.75">
      <c r="A85" s="486"/>
      <c r="B85" s="199" t="s">
        <v>662</v>
      </c>
      <c r="C85" s="198"/>
      <c r="D85" s="198" t="s">
        <v>640</v>
      </c>
      <c r="E85" s="199"/>
      <c r="F85" s="199"/>
      <c r="G85" s="199"/>
      <c r="H85" s="487"/>
      <c r="I85" s="487"/>
      <c r="J85" s="487"/>
    </row>
    <row r="86" spans="1:10" ht="12.75">
      <c r="A86" s="486"/>
      <c r="B86" s="4" t="s">
        <v>663</v>
      </c>
      <c r="C86" s="194"/>
      <c r="D86" s="203" t="s">
        <v>640</v>
      </c>
      <c r="E86" s="352"/>
      <c r="F86" s="352"/>
      <c r="G86" s="1"/>
      <c r="H86" s="487"/>
      <c r="I86" s="487"/>
      <c r="J86" s="487"/>
    </row>
    <row r="87" spans="1:10" ht="12.75">
      <c r="A87" s="486"/>
      <c r="B87" s="199" t="s">
        <v>664</v>
      </c>
      <c r="C87" s="198"/>
      <c r="D87" s="198" t="s">
        <v>640</v>
      </c>
      <c r="E87" s="199"/>
      <c r="F87" s="199"/>
      <c r="G87" s="199"/>
      <c r="H87" s="487"/>
      <c r="I87" s="487"/>
      <c r="J87" s="487"/>
    </row>
    <row r="88" spans="1:10" ht="12.75">
      <c r="A88" s="486"/>
      <c r="B88" s="4" t="s">
        <v>1036</v>
      </c>
      <c r="C88" s="194"/>
      <c r="D88" s="203" t="s">
        <v>640</v>
      </c>
      <c r="E88" s="1"/>
      <c r="F88" s="1"/>
      <c r="G88" s="1"/>
      <c r="H88" s="487"/>
      <c r="I88" s="487"/>
      <c r="J88" s="487"/>
    </row>
    <row r="89" spans="1:10" ht="12.75">
      <c r="A89" s="488">
        <v>6</v>
      </c>
      <c r="B89" s="199" t="s">
        <v>1194</v>
      </c>
      <c r="C89" s="198"/>
      <c r="D89" s="198" t="s">
        <v>640</v>
      </c>
      <c r="E89" s="199"/>
      <c r="F89" s="199"/>
      <c r="G89" s="199"/>
      <c r="H89" s="488">
        <f>265*Головна!$B$131</f>
        <v>8983.5</v>
      </c>
      <c r="I89" s="488">
        <f>340*Головна!$B$131</f>
        <v>11526</v>
      </c>
      <c r="J89" s="488">
        <f>470*Головна!$B$131</f>
        <v>15933</v>
      </c>
    </row>
    <row r="90" spans="1:10" ht="12.75">
      <c r="A90" s="488"/>
      <c r="B90" s="4" t="s">
        <v>666</v>
      </c>
      <c r="C90" s="194"/>
      <c r="D90" s="203" t="s">
        <v>640</v>
      </c>
      <c r="E90" s="1"/>
      <c r="F90" s="1"/>
      <c r="G90" s="1"/>
      <c r="H90" s="488"/>
      <c r="I90" s="488"/>
      <c r="J90" s="488"/>
    </row>
    <row r="91" spans="1:10" ht="12.75">
      <c r="A91" s="488"/>
      <c r="B91" s="349" t="s">
        <v>1195</v>
      </c>
      <c r="C91" s="199"/>
      <c r="D91" s="198" t="s">
        <v>640</v>
      </c>
      <c r="E91" s="199"/>
      <c r="F91" s="199"/>
      <c r="G91" s="199"/>
      <c r="H91" s="488"/>
      <c r="I91" s="488"/>
      <c r="J91" s="488"/>
    </row>
    <row r="92" spans="1:10" ht="12.75">
      <c r="A92" s="488"/>
      <c r="B92" s="4" t="s">
        <v>1196</v>
      </c>
      <c r="C92" s="194"/>
      <c r="D92" s="203" t="s">
        <v>640</v>
      </c>
      <c r="E92" s="1"/>
      <c r="F92" s="1"/>
      <c r="G92" s="1"/>
      <c r="H92" s="488"/>
      <c r="I92" s="488"/>
      <c r="J92" s="488"/>
    </row>
    <row r="93" ht="12.75">
      <c r="J93"/>
    </row>
    <row r="94" spans="2:10" ht="12.75">
      <c r="B94" s="292" t="s">
        <v>1197</v>
      </c>
      <c r="J94"/>
    </row>
    <row r="95" ht="12.75">
      <c r="J95"/>
    </row>
    <row r="96" spans="2:10" ht="12.75">
      <c r="B96" s="491" t="s">
        <v>1134</v>
      </c>
      <c r="C96" s="491"/>
      <c r="D96" s="491"/>
      <c r="E96" s="491"/>
      <c r="F96" s="491"/>
      <c r="G96" s="491"/>
      <c r="H96" s="491"/>
      <c r="I96" s="491"/>
      <c r="J96"/>
    </row>
    <row r="97" spans="2:10" ht="12.75">
      <c r="B97" s="204" t="s">
        <v>668</v>
      </c>
      <c r="I97" s="8"/>
      <c r="J97"/>
    </row>
    <row r="98" spans="2:10" ht="12.75">
      <c r="B98" s="142" t="s">
        <v>669</v>
      </c>
      <c r="I98" s="8"/>
      <c r="J98"/>
    </row>
    <row r="99" spans="2:10" ht="12.75">
      <c r="B99" t="s">
        <v>1037</v>
      </c>
      <c r="I99" s="8"/>
      <c r="J99"/>
    </row>
    <row r="100" spans="9:10" ht="12.75">
      <c r="I100" s="8"/>
      <c r="J100"/>
    </row>
    <row r="101" spans="2:10" ht="12.75">
      <c r="B101" s="205" t="s">
        <v>670</v>
      </c>
      <c r="I101" s="8"/>
      <c r="J101"/>
    </row>
    <row r="102" spans="2:10" ht="12.75">
      <c r="B102" t="s">
        <v>671</v>
      </c>
      <c r="I102" s="8"/>
      <c r="J102"/>
    </row>
    <row r="103" spans="2:10" ht="12.75">
      <c r="B103" s="206" t="s">
        <v>672</v>
      </c>
      <c r="I103" s="8"/>
      <c r="J103"/>
    </row>
    <row r="104" spans="2:10" ht="12.75">
      <c r="B104" s="207" t="s">
        <v>673</v>
      </c>
      <c r="I104" s="8"/>
      <c r="J104"/>
    </row>
    <row r="105" spans="9:10" ht="12.75">
      <c r="I105" s="8"/>
      <c r="J105"/>
    </row>
    <row r="106" spans="9:10" ht="12.75">
      <c r="I106" s="8"/>
      <c r="J106"/>
    </row>
    <row r="107" spans="2:10" ht="12.75">
      <c r="B107" s="489" t="s">
        <v>674</v>
      </c>
      <c r="I107" s="8"/>
      <c r="J107"/>
    </row>
    <row r="108" spans="2:10" ht="12.75">
      <c r="B108" s="489"/>
      <c r="C108" s="489" t="s">
        <v>675</v>
      </c>
      <c r="D108" s="489"/>
      <c r="E108" s="489"/>
      <c r="F108" s="489"/>
      <c r="G108" s="489"/>
      <c r="H108" s="489"/>
      <c r="I108" s="8"/>
      <c r="J108"/>
    </row>
    <row r="109" spans="1:10" ht="12.75">
      <c r="A109" s="208"/>
      <c r="B109" s="322"/>
      <c r="C109" s="489" t="s">
        <v>676</v>
      </c>
      <c r="D109" s="489"/>
      <c r="E109" s="489"/>
      <c r="F109" s="489"/>
      <c r="G109" s="489"/>
      <c r="H109" s="489"/>
      <c r="I109" s="8"/>
      <c r="J109"/>
    </row>
    <row r="110" spans="1:10" ht="12.75">
      <c r="A110" s="322"/>
      <c r="B110" s="490" t="s">
        <v>393</v>
      </c>
      <c r="C110" s="322"/>
      <c r="D110" s="322"/>
      <c r="I110" s="8"/>
      <c r="J110"/>
    </row>
    <row r="111" spans="2:10" ht="12.75">
      <c r="B111" s="490"/>
      <c r="C111" s="489" t="s">
        <v>394</v>
      </c>
      <c r="D111" s="489"/>
      <c r="E111" s="24" t="s">
        <v>395</v>
      </c>
      <c r="I111" s="8"/>
      <c r="J111"/>
    </row>
    <row r="112" spans="1:10" ht="12.75" customHeight="1">
      <c r="A112" s="26"/>
      <c r="B112" s="490"/>
      <c r="C112" s="489" t="s">
        <v>396</v>
      </c>
      <c r="D112" s="489"/>
      <c r="E112" s="24" t="s">
        <v>397</v>
      </c>
      <c r="I112" s="8"/>
      <c r="J112"/>
    </row>
    <row r="113" spans="1:10" ht="12.75" customHeight="1">
      <c r="A113" s="26"/>
      <c r="C113" s="489" t="s">
        <v>398</v>
      </c>
      <c r="D113" s="489"/>
      <c r="E113" s="24" t="s">
        <v>71</v>
      </c>
      <c r="I113" s="8"/>
      <c r="J113"/>
    </row>
    <row r="117" ht="12.75" customHeight="1"/>
    <row r="118" ht="12.75" customHeight="1"/>
    <row r="120" ht="14.25" customHeight="1"/>
    <row r="121" ht="12.75" customHeight="1"/>
    <row r="122" ht="25.5" customHeight="1"/>
  </sheetData>
  <sheetProtection/>
  <mergeCells count="37">
    <mergeCell ref="A16:A20"/>
    <mergeCell ref="H16:H20"/>
    <mergeCell ref="B96:I96"/>
    <mergeCell ref="C111:D111"/>
    <mergeCell ref="J74:J88"/>
    <mergeCell ref="A89:A92"/>
    <mergeCell ref="H89:H92"/>
    <mergeCell ref="I89:I92"/>
    <mergeCell ref="J89:J92"/>
    <mergeCell ref="I21:I32"/>
    <mergeCell ref="A21:A32"/>
    <mergeCell ref="H21:H32"/>
    <mergeCell ref="H14:J14"/>
    <mergeCell ref="J21:J32"/>
    <mergeCell ref="C113:D113"/>
    <mergeCell ref="B107:B108"/>
    <mergeCell ref="C108:H108"/>
    <mergeCell ref="C109:H109"/>
    <mergeCell ref="B110:B112"/>
    <mergeCell ref="C112:D112"/>
    <mergeCell ref="H53:H73"/>
    <mergeCell ref="I53:I73"/>
    <mergeCell ref="J53:J73"/>
    <mergeCell ref="E14:G14"/>
    <mergeCell ref="I16:I20"/>
    <mergeCell ref="J16:J20"/>
    <mergeCell ref="J33:J52"/>
    <mergeCell ref="A14:A15"/>
    <mergeCell ref="B14:B15"/>
    <mergeCell ref="A74:A88"/>
    <mergeCell ref="H74:H88"/>
    <mergeCell ref="I74:I88"/>
    <mergeCell ref="C14:D15"/>
    <mergeCell ref="A33:A52"/>
    <mergeCell ref="H33:H52"/>
    <mergeCell ref="I33:I52"/>
    <mergeCell ref="A53:A7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view="pageBreakPreview" zoomScaleSheetLayoutView="100" zoomScalePageLayoutView="0" workbookViewId="0" topLeftCell="A1">
      <pane ySplit="1" topLeftCell="A8" activePane="bottomLeft" state="frozen"/>
      <selection pane="topLeft" activeCell="H23" sqref="H23"/>
      <selection pane="bottomLeft" activeCell="G19" sqref="G16:G19"/>
    </sheetView>
  </sheetViews>
  <sheetFormatPr defaultColWidth="9.00390625" defaultRowHeight="12.75"/>
  <cols>
    <col min="1" max="1" width="10.50390625" style="0" customWidth="1"/>
    <col min="2" max="2" width="18.50390625" style="0" customWidth="1"/>
    <col min="3" max="3" width="19.50390625" style="0" customWidth="1"/>
    <col min="4" max="4" width="19.875" style="0" customWidth="1"/>
    <col min="5" max="5" width="20.50390625" style="0" customWidth="1"/>
    <col min="6" max="6" width="20.375" style="0" customWidth="1"/>
    <col min="7" max="7" width="19.50390625" style="0" customWidth="1"/>
  </cols>
  <sheetData>
    <row r="1" spans="1:7" ht="123" customHeight="1">
      <c r="A1" s="417"/>
      <c r="B1" s="417"/>
      <c r="C1" s="417"/>
      <c r="D1" s="417"/>
      <c r="E1" s="417"/>
      <c r="F1" s="417"/>
      <c r="G1" s="417"/>
    </row>
    <row r="2" spans="1:7" ht="12.75">
      <c r="A2" s="417"/>
      <c r="B2" s="417"/>
      <c r="C2" s="417"/>
      <c r="D2" s="417"/>
      <c r="E2" s="417"/>
      <c r="F2" s="417"/>
      <c r="G2" s="417"/>
    </row>
    <row r="3" spans="1:8" ht="12.75" customHeight="1">
      <c r="A3" s="496"/>
      <c r="B3" s="496"/>
      <c r="C3" s="26"/>
      <c r="D3" s="26"/>
      <c r="E3" s="234" t="s">
        <v>304</v>
      </c>
      <c r="F3" s="234"/>
      <c r="H3" s="22" t="s">
        <v>263</v>
      </c>
    </row>
    <row r="4" spans="1:7" ht="36" customHeight="1">
      <c r="A4" s="497" t="s">
        <v>307</v>
      </c>
      <c r="B4" s="497"/>
      <c r="C4" s="497"/>
      <c r="D4" s="497"/>
      <c r="E4" s="417"/>
      <c r="F4" s="417"/>
      <c r="G4" s="417"/>
    </row>
    <row r="5" spans="1:7" ht="17.25" customHeight="1">
      <c r="A5" s="492" t="s">
        <v>305</v>
      </c>
      <c r="B5" s="492"/>
      <c r="C5" s="492"/>
      <c r="D5" s="492"/>
      <c r="E5" s="417"/>
      <c r="F5" s="417"/>
      <c r="G5" s="417"/>
    </row>
    <row r="6" spans="1:7" ht="17.25" customHeight="1">
      <c r="A6" s="493" t="s">
        <v>387</v>
      </c>
      <c r="B6" s="494"/>
      <c r="C6" s="494"/>
      <c r="D6" s="494"/>
      <c r="E6" s="417"/>
      <c r="F6" s="417"/>
      <c r="G6" s="417"/>
    </row>
    <row r="7" spans="1:7" ht="11.25" customHeight="1">
      <c r="A7" s="498"/>
      <c r="B7" s="498"/>
      <c r="C7" s="498"/>
      <c r="D7" s="498"/>
      <c r="E7" s="417"/>
      <c r="F7" s="417"/>
      <c r="G7" s="417"/>
    </row>
    <row r="8" spans="2:7" ht="8.25" customHeight="1">
      <c r="B8" s="417"/>
      <c r="C8" s="417"/>
      <c r="D8" s="417"/>
      <c r="E8" s="417"/>
      <c r="F8" s="417"/>
      <c r="G8" s="417"/>
    </row>
    <row r="9" spans="1:7" ht="20.25" customHeight="1">
      <c r="A9" s="499" t="s">
        <v>308</v>
      </c>
      <c r="B9" s="499"/>
      <c r="C9" s="499"/>
      <c r="D9" s="499"/>
      <c r="E9" s="499"/>
      <c r="F9" s="499"/>
      <c r="G9" s="499"/>
    </row>
    <row r="10" spans="1:7" ht="18" customHeight="1" thickBot="1">
      <c r="A10" s="417"/>
      <c r="B10" s="417"/>
      <c r="C10" s="417"/>
      <c r="D10" s="417"/>
      <c r="E10" s="417"/>
      <c r="F10" s="417"/>
      <c r="G10" s="417"/>
    </row>
    <row r="11" spans="1:7" ht="21" customHeight="1" thickBot="1">
      <c r="A11" s="495" t="s">
        <v>677</v>
      </c>
      <c r="B11" s="209" t="s">
        <v>47</v>
      </c>
      <c r="C11" s="209" t="s">
        <v>48</v>
      </c>
      <c r="D11" s="209" t="s">
        <v>49</v>
      </c>
      <c r="E11" s="210" t="s">
        <v>50</v>
      </c>
      <c r="F11" s="209" t="s">
        <v>51</v>
      </c>
      <c r="G11" s="211" t="s">
        <v>52</v>
      </c>
    </row>
    <row r="12" spans="1:7" ht="22.5" customHeight="1">
      <c r="A12" s="495"/>
      <c r="B12" s="212" t="s">
        <v>638</v>
      </c>
      <c r="C12" s="212" t="s">
        <v>158</v>
      </c>
      <c r="D12" s="212" t="s">
        <v>678</v>
      </c>
      <c r="E12" s="212" t="s">
        <v>679</v>
      </c>
      <c r="F12" s="212" t="s">
        <v>680</v>
      </c>
      <c r="G12" s="213" t="s">
        <v>681</v>
      </c>
    </row>
    <row r="13" spans="1:7" ht="12.75">
      <c r="A13" s="214"/>
      <c r="B13" s="212" t="s">
        <v>163</v>
      </c>
      <c r="C13" s="212" t="s">
        <v>169</v>
      </c>
      <c r="D13" s="215" t="s">
        <v>157</v>
      </c>
      <c r="E13" s="215" t="s">
        <v>175</v>
      </c>
      <c r="F13" s="212" t="s">
        <v>682</v>
      </c>
      <c r="G13" s="213" t="s">
        <v>684</v>
      </c>
    </row>
    <row r="14" spans="1:7" ht="26.25" customHeight="1">
      <c r="A14" s="214"/>
      <c r="B14" s="212" t="s">
        <v>164</v>
      </c>
      <c r="C14" s="212" t="s">
        <v>160</v>
      </c>
      <c r="D14" s="215" t="s">
        <v>687</v>
      </c>
      <c r="E14" s="215" t="s">
        <v>653</v>
      </c>
      <c r="F14" s="212" t="s">
        <v>686</v>
      </c>
      <c r="G14" s="213" t="s">
        <v>666</v>
      </c>
    </row>
    <row r="15" spans="1:7" ht="25.5" customHeight="1">
      <c r="A15" s="214"/>
      <c r="B15" s="212" t="s">
        <v>167</v>
      </c>
      <c r="C15" s="212" t="s">
        <v>161</v>
      </c>
      <c r="D15" s="215" t="s">
        <v>159</v>
      </c>
      <c r="E15" s="215" t="s">
        <v>654</v>
      </c>
      <c r="F15" s="212" t="s">
        <v>688</v>
      </c>
      <c r="G15" s="213" t="s">
        <v>1137</v>
      </c>
    </row>
    <row r="16" spans="1:7" ht="12.75">
      <c r="A16" s="214"/>
      <c r="B16" s="212" t="s">
        <v>685</v>
      </c>
      <c r="C16" s="212" t="s">
        <v>162</v>
      </c>
      <c r="D16" s="215" t="s">
        <v>170</v>
      </c>
      <c r="E16" s="212" t="s">
        <v>659</v>
      </c>
      <c r="F16" s="212" t="s">
        <v>658</v>
      </c>
      <c r="G16" s="213"/>
    </row>
    <row r="17" spans="1:7" ht="12.75">
      <c r="A17" s="214"/>
      <c r="B17" s="212"/>
      <c r="C17" s="212" t="s">
        <v>643</v>
      </c>
      <c r="D17" s="215" t="s">
        <v>691</v>
      </c>
      <c r="E17" s="215" t="s">
        <v>176</v>
      </c>
      <c r="F17" s="212" t="s">
        <v>660</v>
      </c>
      <c r="G17" s="213"/>
    </row>
    <row r="18" spans="1:7" ht="12.75">
      <c r="A18" s="214"/>
      <c r="B18" s="212"/>
      <c r="C18" s="212" t="s">
        <v>689</v>
      </c>
      <c r="D18" s="215" t="s">
        <v>692</v>
      </c>
      <c r="E18" s="215" t="s">
        <v>655</v>
      </c>
      <c r="F18" s="212" t="s">
        <v>693</v>
      </c>
      <c r="G18" s="213"/>
    </row>
    <row r="19" spans="1:7" ht="12.75">
      <c r="A19" s="214"/>
      <c r="B19" s="212"/>
      <c r="C19" s="212" t="s">
        <v>165</v>
      </c>
      <c r="D19" s="215" t="s">
        <v>695</v>
      </c>
      <c r="E19" s="215" t="s">
        <v>171</v>
      </c>
      <c r="F19" s="212" t="s">
        <v>696</v>
      </c>
      <c r="G19" s="213"/>
    </row>
    <row r="20" spans="1:7" ht="12.75">
      <c r="A20" s="214"/>
      <c r="B20" s="212"/>
      <c r="C20" s="212" t="s">
        <v>166</v>
      </c>
      <c r="D20" s="215" t="s">
        <v>698</v>
      </c>
      <c r="E20" s="215" t="s">
        <v>177</v>
      </c>
      <c r="F20" s="212" t="s">
        <v>699</v>
      </c>
      <c r="G20" s="213"/>
    </row>
    <row r="21" spans="1:7" ht="12.75">
      <c r="A21" s="214"/>
      <c r="B21" s="212"/>
      <c r="C21" s="215" t="s">
        <v>180</v>
      </c>
      <c r="D21" s="215" t="s">
        <v>649</v>
      </c>
      <c r="E21" s="215" t="s">
        <v>697</v>
      </c>
      <c r="F21" s="212" t="s">
        <v>700</v>
      </c>
      <c r="G21" s="213"/>
    </row>
    <row r="22" spans="1:7" ht="12.75">
      <c r="A22" s="214"/>
      <c r="B22" s="212"/>
      <c r="C22" s="212" t="s">
        <v>694</v>
      </c>
      <c r="D22" s="212" t="s">
        <v>172</v>
      </c>
      <c r="E22" s="215" t="s">
        <v>178</v>
      </c>
      <c r="F22" s="212" t="s">
        <v>702</v>
      </c>
      <c r="G22" s="213"/>
    </row>
    <row r="23" spans="1:7" ht="12.75">
      <c r="A23" s="214"/>
      <c r="B23" s="212"/>
      <c r="C23" s="212"/>
      <c r="D23" s="212" t="s">
        <v>703</v>
      </c>
      <c r="E23" s="212" t="s">
        <v>179</v>
      </c>
      <c r="F23" s="212" t="s">
        <v>704</v>
      </c>
      <c r="G23" s="213"/>
    </row>
    <row r="24" spans="1:7" ht="12.75">
      <c r="A24" s="214"/>
      <c r="B24" s="212"/>
      <c r="C24" s="212"/>
      <c r="D24" s="212" t="s">
        <v>168</v>
      </c>
      <c r="E24" s="212" t="s">
        <v>701</v>
      </c>
      <c r="F24" s="212" t="s">
        <v>706</v>
      </c>
      <c r="G24" s="213"/>
    </row>
    <row r="25" spans="1:7" ht="12.75">
      <c r="A25" s="214"/>
      <c r="B25" s="212"/>
      <c r="C25" s="212"/>
      <c r="D25" s="212" t="s">
        <v>174</v>
      </c>
      <c r="E25" s="212" t="s">
        <v>705</v>
      </c>
      <c r="F25" s="213" t="s">
        <v>690</v>
      </c>
      <c r="G25" s="213"/>
    </row>
    <row r="26" spans="1:7" ht="12.75">
      <c r="A26" s="214"/>
      <c r="B26" s="212"/>
      <c r="C26" s="212"/>
      <c r="D26" s="212"/>
      <c r="E26" s="212" t="s">
        <v>707</v>
      </c>
      <c r="F26" s="212"/>
      <c r="G26" s="213"/>
    </row>
    <row r="27" spans="1:7" ht="12.75">
      <c r="A27" s="214"/>
      <c r="B27" s="212"/>
      <c r="C27" s="212"/>
      <c r="D27" s="212"/>
      <c r="E27" s="212" t="s">
        <v>173</v>
      </c>
      <c r="F27" s="212"/>
      <c r="G27" s="213"/>
    </row>
    <row r="28" spans="1:7" ht="12.75">
      <c r="A28" s="214"/>
      <c r="B28" s="212"/>
      <c r="C28" s="212"/>
      <c r="D28" s="212"/>
      <c r="E28" s="212"/>
      <c r="F28" s="212"/>
      <c r="G28" s="213"/>
    </row>
    <row r="29" spans="1:7" ht="12.75">
      <c r="A29" s="214"/>
      <c r="B29" s="212"/>
      <c r="C29" s="212"/>
      <c r="D29" s="212"/>
      <c r="E29" s="212"/>
      <c r="F29" s="212"/>
      <c r="G29" s="213"/>
    </row>
    <row r="30" spans="1:7" ht="12.75">
      <c r="A30" s="214"/>
      <c r="B30" s="212"/>
      <c r="C30" s="212"/>
      <c r="D30" s="215"/>
      <c r="E30" s="212"/>
      <c r="F30" s="212"/>
      <c r="G30" s="213"/>
    </row>
    <row r="31" spans="1:7" ht="12.75">
      <c r="A31" s="214"/>
      <c r="B31" s="212"/>
      <c r="C31" s="212"/>
      <c r="D31" s="215"/>
      <c r="E31" s="215"/>
      <c r="F31" s="212"/>
      <c r="G31" s="213"/>
    </row>
    <row r="32" spans="1:7" ht="30">
      <c r="A32" s="216" t="s">
        <v>72</v>
      </c>
      <c r="B32" s="217">
        <f>131.76*Головна!$B$131</f>
        <v>4466.664</v>
      </c>
      <c r="C32" s="217">
        <f>152.81*Головна!$B$131</f>
        <v>5180.259</v>
      </c>
      <c r="D32" s="218">
        <f>167.72*Головна!$B$131</f>
        <v>5685.708</v>
      </c>
      <c r="E32" s="219">
        <f>192.22*Головна!$B$131</f>
        <v>6516.258</v>
      </c>
      <c r="F32" s="220">
        <f>211.44*Головна!$B$131</f>
        <v>7167.816</v>
      </c>
      <c r="G32" s="221">
        <f>256.26*Головна!$B$131</f>
        <v>8687.214</v>
      </c>
    </row>
    <row r="33" spans="1:7" ht="20.25">
      <c r="A33" s="216" t="s">
        <v>73</v>
      </c>
      <c r="B33" s="217">
        <f>139.18*Головна!$B$131</f>
        <v>4718.202</v>
      </c>
      <c r="C33" s="217">
        <f>161.49*Головна!$B$131</f>
        <v>5474.511</v>
      </c>
      <c r="D33" s="218">
        <f>176.96*Головна!$B$131</f>
        <v>5998.944</v>
      </c>
      <c r="E33" s="219">
        <f>202.98*Головна!$B$131</f>
        <v>6881.021999999999</v>
      </c>
      <c r="F33" s="220">
        <f>223.27*Головна!$B$131</f>
        <v>7568.853</v>
      </c>
      <c r="G33" s="221">
        <f>270.64*Головна!$B$131</f>
        <v>9174.696</v>
      </c>
    </row>
    <row r="34" spans="1:7" ht="30">
      <c r="A34" s="216" t="s">
        <v>74</v>
      </c>
      <c r="B34" s="217">
        <f>149.37*Головна!$B$131</f>
        <v>5063.643</v>
      </c>
      <c r="C34" s="217">
        <f>173.41*Головна!$B$131</f>
        <v>5878.598999999999</v>
      </c>
      <c r="D34" s="218">
        <f>195.32*Головна!$B$131</f>
        <v>6621.347999999999</v>
      </c>
      <c r="E34" s="219">
        <f>285.19*Головна!$B$131</f>
        <v>9667.940999999999</v>
      </c>
      <c r="F34" s="220">
        <f>313.7*Головна!$B$131</f>
        <v>10634.429999999998</v>
      </c>
      <c r="G34" s="221">
        <f>380.24*Головна!$B$131</f>
        <v>12890.136</v>
      </c>
    </row>
    <row r="35" spans="1:7" ht="21" thickBot="1">
      <c r="A35" s="222" t="s">
        <v>75</v>
      </c>
      <c r="B35" s="223">
        <f>155.79*Головна!$B$131</f>
        <v>5281.281</v>
      </c>
      <c r="C35" s="223">
        <f>180.88*Головна!$B$131</f>
        <v>6131.831999999999</v>
      </c>
      <c r="D35" s="224">
        <f>204*Головна!$B$131</f>
        <v>6915.599999999999</v>
      </c>
      <c r="E35" s="225">
        <f>299.53*Головна!$B$131</f>
        <v>10154.067</v>
      </c>
      <c r="F35" s="226">
        <f>329.45*Головна!$B$131</f>
        <v>11168.355</v>
      </c>
      <c r="G35" s="227">
        <f>399.35*Головна!$B$131</f>
        <v>13537.965</v>
      </c>
    </row>
    <row r="38" spans="1:4" ht="12.75">
      <c r="A38" s="228" t="s">
        <v>708</v>
      </c>
      <c r="B38" s="229" t="s">
        <v>709</v>
      </c>
      <c r="C38" s="229" t="s">
        <v>710</v>
      </c>
      <c r="D38" s="229" t="s">
        <v>711</v>
      </c>
    </row>
    <row r="39" spans="1:4" ht="12.75">
      <c r="A39" s="230" t="s">
        <v>76</v>
      </c>
      <c r="B39" s="231">
        <v>9</v>
      </c>
      <c r="C39" s="232">
        <v>30</v>
      </c>
      <c r="D39" s="233">
        <v>24.3</v>
      </c>
    </row>
    <row r="40" spans="1:4" ht="12.75">
      <c r="A40" s="230" t="s">
        <v>77</v>
      </c>
      <c r="B40" s="231">
        <v>5</v>
      </c>
      <c r="C40" s="232">
        <v>30</v>
      </c>
      <c r="D40" s="233">
        <v>24</v>
      </c>
    </row>
    <row r="41" spans="1:4" ht="12.75">
      <c r="A41" s="230" t="s">
        <v>78</v>
      </c>
      <c r="B41" s="231">
        <v>4</v>
      </c>
      <c r="C41" s="232">
        <v>30</v>
      </c>
      <c r="D41" s="233">
        <v>21.6</v>
      </c>
    </row>
    <row r="42" spans="1:4" ht="12.75">
      <c r="A42" s="230" t="s">
        <v>79</v>
      </c>
      <c r="B42" s="231">
        <v>4</v>
      </c>
      <c r="C42" s="232">
        <v>30</v>
      </c>
      <c r="D42" s="233">
        <v>28.8</v>
      </c>
    </row>
    <row r="43" spans="1:4" ht="12.75">
      <c r="A43" s="230" t="s">
        <v>80</v>
      </c>
      <c r="B43" s="231">
        <v>4</v>
      </c>
      <c r="C43" s="232">
        <v>30</v>
      </c>
      <c r="D43" s="233">
        <v>43.2</v>
      </c>
    </row>
  </sheetData>
  <sheetProtection selectLockedCells="1" selectUnlockedCells="1"/>
  <mergeCells count="13">
    <mergeCell ref="B8:G8"/>
    <mergeCell ref="A9:G9"/>
    <mergeCell ref="A10:G10"/>
    <mergeCell ref="G4:G7"/>
    <mergeCell ref="A5:D5"/>
    <mergeCell ref="A6:D6"/>
    <mergeCell ref="A11:A12"/>
    <mergeCell ref="A1:G1"/>
    <mergeCell ref="A2:G2"/>
    <mergeCell ref="A3:B3"/>
    <mergeCell ref="A4:D4"/>
    <mergeCell ref="E4:F7"/>
    <mergeCell ref="A7:D7"/>
  </mergeCells>
  <hyperlinks>
    <hyperlink ref="A6:D6" r:id="rId1" display="Смотрите виды и характеристики кварцевого камня Silestone на сайте:"/>
    <hyperlink ref="H3" location="Главная!A1" display="на главную"/>
  </hyperlinks>
  <printOptions/>
  <pageMargins left="0.6298611111111111" right="0.4597222222222222" top="0.19027777777777777" bottom="0.3" header="0.2" footer="0.38"/>
  <pageSetup horizontalDpi="300" verticalDpi="300" orientation="landscape" paperSize="9" scale="6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61"/>
  <sheetViews>
    <sheetView zoomScalePageLayoutView="0" workbookViewId="0" topLeftCell="A1">
      <selection activeCell="A54" sqref="A54:K54"/>
    </sheetView>
  </sheetViews>
  <sheetFormatPr defaultColWidth="9.00390625" defaultRowHeight="12.75"/>
  <cols>
    <col min="1" max="1" width="21.875" style="28" bestFit="1" customWidth="1"/>
    <col min="2" max="5" width="10.625" style="28" customWidth="1"/>
    <col min="6" max="7" width="10.625" style="77" customWidth="1"/>
    <col min="8" max="9" width="10.625" style="1" customWidth="1"/>
    <col min="10" max="11" width="10.625" style="0" customWidth="1"/>
    <col min="12" max="12" width="17.50390625" style="0" customWidth="1"/>
  </cols>
  <sheetData>
    <row r="1" ht="15.75">
      <c r="L1" s="1"/>
    </row>
    <row r="2" spans="1:12" ht="87" customHeight="1">
      <c r="A2" s="502"/>
      <c r="B2" s="502"/>
      <c r="C2" s="502"/>
      <c r="D2" s="502"/>
      <c r="E2" s="502"/>
      <c r="F2" s="502"/>
      <c r="G2" s="23"/>
      <c r="L2" s="1"/>
    </row>
    <row r="3" ht="12.75" customHeight="1">
      <c r="L3" s="1"/>
    </row>
    <row r="4" spans="1:12" ht="14.25" customHeight="1">
      <c r="A4" s="29"/>
      <c r="B4" s="503" t="s">
        <v>724</v>
      </c>
      <c r="C4" s="503"/>
      <c r="D4" s="503"/>
      <c r="E4" s="503"/>
      <c r="F4" s="503"/>
      <c r="G4" s="148"/>
      <c r="L4" s="1"/>
    </row>
    <row r="5" spans="1:12" ht="30.75" customHeight="1">
      <c r="A5" s="504" t="s">
        <v>288</v>
      </c>
      <c r="B5" s="504"/>
      <c r="C5" s="504"/>
      <c r="D5" s="504"/>
      <c r="E5" s="504"/>
      <c r="F5" s="504"/>
      <c r="G5" s="504"/>
      <c r="H5" s="504"/>
      <c r="I5" s="149"/>
      <c r="L5" s="1"/>
    </row>
    <row r="6" spans="1:12" ht="16.5" customHeight="1">
      <c r="A6" s="531" t="s">
        <v>725</v>
      </c>
      <c r="B6" s="531"/>
      <c r="C6" s="531"/>
      <c r="D6" s="531"/>
      <c r="E6" s="531"/>
      <c r="F6" s="531"/>
      <c r="G6" s="531"/>
      <c r="H6" s="531"/>
      <c r="I6" s="150"/>
      <c r="L6" s="1"/>
    </row>
    <row r="7" spans="1:12" ht="20.25" customHeight="1">
      <c r="A7" s="508" t="s">
        <v>712</v>
      </c>
      <c r="B7" s="508"/>
      <c r="C7" s="508"/>
      <c r="D7" s="508"/>
      <c r="E7" s="508"/>
      <c r="F7" s="508"/>
      <c r="G7" s="508"/>
      <c r="H7" s="508"/>
      <c r="I7" s="235"/>
      <c r="L7" s="1"/>
    </row>
    <row r="8" spans="1:12" ht="14.25" customHeight="1">
      <c r="A8" s="235"/>
      <c r="B8" s="235"/>
      <c r="C8" s="235"/>
      <c r="D8" s="235"/>
      <c r="E8" s="235"/>
      <c r="F8" s="235"/>
      <c r="G8" s="235"/>
      <c r="L8" s="1"/>
    </row>
    <row r="9" spans="1:12" ht="18.75" customHeight="1">
      <c r="A9" s="509" t="s">
        <v>111</v>
      </c>
      <c r="B9" s="532" t="s">
        <v>153</v>
      </c>
      <c r="C9" s="532"/>
      <c r="D9" s="533" t="s">
        <v>154</v>
      </c>
      <c r="E9" s="533"/>
      <c r="F9" s="532" t="s">
        <v>155</v>
      </c>
      <c r="G9" s="532"/>
      <c r="H9" s="532" t="s">
        <v>156</v>
      </c>
      <c r="I9" s="532"/>
      <c r="J9" s="532" t="s">
        <v>713</v>
      </c>
      <c r="K9" s="533"/>
      <c r="L9" s="237" t="s">
        <v>714</v>
      </c>
    </row>
    <row r="10" spans="1:12" ht="50.25" customHeight="1">
      <c r="A10" s="509"/>
      <c r="B10" s="511"/>
      <c r="C10" s="511"/>
      <c r="D10" s="510"/>
      <c r="E10" s="510"/>
      <c r="F10" s="511"/>
      <c r="G10" s="511"/>
      <c r="H10" s="511"/>
      <c r="I10" s="511"/>
      <c r="J10" s="511"/>
      <c r="K10" s="510"/>
      <c r="L10" s="238"/>
    </row>
    <row r="11" spans="1:12" ht="20.25" customHeight="1">
      <c r="A11" s="236" t="s">
        <v>726</v>
      </c>
      <c r="B11" s="534" t="s">
        <v>715</v>
      </c>
      <c r="C11" s="534"/>
      <c r="D11" s="534" t="s">
        <v>716</v>
      </c>
      <c r="E11" s="534"/>
      <c r="F11" s="513" t="s">
        <v>717</v>
      </c>
      <c r="G11" s="513"/>
      <c r="H11" s="534" t="s">
        <v>718</v>
      </c>
      <c r="I11" s="534"/>
      <c r="J11" s="534" t="s">
        <v>719</v>
      </c>
      <c r="K11" s="535"/>
      <c r="L11" s="239" t="s">
        <v>720</v>
      </c>
    </row>
    <row r="12" spans="1:12" ht="20.25" customHeight="1">
      <c r="A12" s="400" t="s">
        <v>314</v>
      </c>
      <c r="B12" s="512" t="s">
        <v>721</v>
      </c>
      <c r="C12" s="512"/>
      <c r="D12" s="512" t="s">
        <v>721</v>
      </c>
      <c r="E12" s="512"/>
      <c r="F12" s="512" t="s">
        <v>721</v>
      </c>
      <c r="G12" s="512"/>
      <c r="H12" s="512" t="s">
        <v>721</v>
      </c>
      <c r="I12" s="512"/>
      <c r="J12" s="512" t="s">
        <v>721</v>
      </c>
      <c r="K12" s="512"/>
      <c r="L12" s="401" t="s">
        <v>721</v>
      </c>
    </row>
    <row r="13" spans="1:12" ht="20.25" customHeight="1">
      <c r="A13" s="391" t="s">
        <v>1198</v>
      </c>
      <c r="B13" s="505">
        <f>444*Головна!$B$131</f>
        <v>15051.599999999999</v>
      </c>
      <c r="C13" s="506"/>
      <c r="D13" s="505">
        <f>338*Головна!$B$131</f>
        <v>11458.199999999999</v>
      </c>
      <c r="E13" s="506"/>
      <c r="F13" s="505">
        <f>463*Головна!$B$131</f>
        <v>15695.699999999999</v>
      </c>
      <c r="G13" s="506"/>
      <c r="H13" s="514" t="s">
        <v>722</v>
      </c>
      <c r="I13" s="514"/>
      <c r="J13" s="500" t="s">
        <v>722</v>
      </c>
      <c r="K13" s="501"/>
      <c r="L13" s="393" t="s">
        <v>722</v>
      </c>
    </row>
    <row r="14" spans="1:12" ht="13.5" customHeight="1">
      <c r="A14" s="391" t="s">
        <v>1135</v>
      </c>
      <c r="B14" s="505">
        <f>444*Головна!$B$131</f>
        <v>15051.599999999999</v>
      </c>
      <c r="C14" s="506"/>
      <c r="D14" s="505">
        <f>338*Головна!$B$131</f>
        <v>11458.199999999999</v>
      </c>
      <c r="E14" s="506"/>
      <c r="F14" s="505">
        <f>463*Головна!$B$131</f>
        <v>15695.699999999999</v>
      </c>
      <c r="G14" s="506"/>
      <c r="H14" s="505">
        <f>480*Головна!$B$131</f>
        <v>16272</v>
      </c>
      <c r="I14" s="506"/>
      <c r="J14" s="500" t="s">
        <v>722</v>
      </c>
      <c r="K14" s="501"/>
      <c r="L14" s="394" t="s">
        <v>722</v>
      </c>
    </row>
    <row r="15" spans="1:12" ht="13.5" customHeight="1">
      <c r="A15" s="395" t="s">
        <v>158</v>
      </c>
      <c r="B15" s="505" t="s">
        <v>722</v>
      </c>
      <c r="C15" s="506"/>
      <c r="D15" s="505">
        <f>338*Головна!$B$131</f>
        <v>11458.199999999999</v>
      </c>
      <c r="E15" s="506"/>
      <c r="F15" s="505">
        <f>463*Головна!$B$131</f>
        <v>15695.699999999999</v>
      </c>
      <c r="G15" s="506"/>
      <c r="H15" s="514" t="s">
        <v>722</v>
      </c>
      <c r="I15" s="514"/>
      <c r="J15" s="500" t="s">
        <v>722</v>
      </c>
      <c r="K15" s="501"/>
      <c r="L15" s="394" t="s">
        <v>722</v>
      </c>
    </row>
    <row r="16" spans="1:12" ht="13.5" customHeight="1">
      <c r="A16" s="391" t="s">
        <v>647</v>
      </c>
      <c r="B16" s="505">
        <f>444*Головна!$B$131</f>
        <v>15051.599999999999</v>
      </c>
      <c r="C16" s="506"/>
      <c r="D16" s="505">
        <f>338*Головна!$B$131</f>
        <v>11458.199999999999</v>
      </c>
      <c r="E16" s="506"/>
      <c r="F16" s="505">
        <f>463*Головна!$B$131</f>
        <v>15695.699999999999</v>
      </c>
      <c r="G16" s="506"/>
      <c r="H16" s="515" t="s">
        <v>722</v>
      </c>
      <c r="I16" s="516"/>
      <c r="J16" s="537" t="s">
        <v>722</v>
      </c>
      <c r="K16" s="536"/>
      <c r="L16" s="394" t="s">
        <v>722</v>
      </c>
    </row>
    <row r="17" spans="1:12" ht="13.5" customHeight="1">
      <c r="A17" s="241" t="s">
        <v>159</v>
      </c>
      <c r="B17" s="505">
        <f>444*Головна!$B$131</f>
        <v>15051.599999999999</v>
      </c>
      <c r="C17" s="506"/>
      <c r="D17" s="505">
        <f>338*Головна!$B$131</f>
        <v>11458.199999999999</v>
      </c>
      <c r="E17" s="506"/>
      <c r="F17" s="505">
        <f>463*Головна!$B$131</f>
        <v>15695.699999999999</v>
      </c>
      <c r="G17" s="506"/>
      <c r="H17" s="507" t="s">
        <v>722</v>
      </c>
      <c r="I17" s="507"/>
      <c r="J17" s="507" t="s">
        <v>722</v>
      </c>
      <c r="K17" s="536"/>
      <c r="L17" s="396" t="s">
        <v>722</v>
      </c>
    </row>
    <row r="18" spans="1:12" ht="13.5" customHeight="1">
      <c r="A18" s="241" t="s">
        <v>1199</v>
      </c>
      <c r="B18" s="517" t="s">
        <v>722</v>
      </c>
      <c r="C18" s="517"/>
      <c r="D18" s="505">
        <f>338*Головна!$B$131</f>
        <v>11458.199999999999</v>
      </c>
      <c r="E18" s="506"/>
      <c r="F18" s="505">
        <f>463*Головна!$B$131</f>
        <v>15695.699999999999</v>
      </c>
      <c r="G18" s="506"/>
      <c r="H18" s="507" t="s">
        <v>722</v>
      </c>
      <c r="I18" s="507"/>
      <c r="J18" s="517" t="s">
        <v>722</v>
      </c>
      <c r="K18" s="525"/>
      <c r="L18" s="396" t="s">
        <v>722</v>
      </c>
    </row>
    <row r="19" spans="1:12" ht="13.5" customHeight="1">
      <c r="A19" s="241" t="s">
        <v>160</v>
      </c>
      <c r="B19" s="505">
        <f>444*Головна!$B$131</f>
        <v>15051.599999999999</v>
      </c>
      <c r="C19" s="506"/>
      <c r="D19" s="505">
        <f>338*Головна!$B$131</f>
        <v>11458.199999999999</v>
      </c>
      <c r="E19" s="506"/>
      <c r="F19" s="505">
        <f>463*Головна!$B$131</f>
        <v>15695.699999999999</v>
      </c>
      <c r="G19" s="506"/>
      <c r="H19" s="507" t="s">
        <v>722</v>
      </c>
      <c r="I19" s="507"/>
      <c r="J19" s="538" t="s">
        <v>722</v>
      </c>
      <c r="K19" s="539"/>
      <c r="L19" s="396" t="s">
        <v>722</v>
      </c>
    </row>
    <row r="20" spans="1:12" ht="12.75">
      <c r="A20" s="241" t="s">
        <v>170</v>
      </c>
      <c r="B20" s="505">
        <f>444*Головна!$B$131</f>
        <v>15051.599999999999</v>
      </c>
      <c r="C20" s="506"/>
      <c r="D20" s="505">
        <f>338*Головна!$B$131</f>
        <v>11458.199999999999</v>
      </c>
      <c r="E20" s="506"/>
      <c r="F20" s="505">
        <f>463*Головна!$B$131</f>
        <v>15695.699999999999</v>
      </c>
      <c r="G20" s="506"/>
      <c r="H20" s="518" t="s">
        <v>722</v>
      </c>
      <c r="I20" s="519"/>
      <c r="J20" s="540" t="s">
        <v>722</v>
      </c>
      <c r="K20" s="539"/>
      <c r="L20" s="394">
        <f>435*Головна!$B$131</f>
        <v>14746.5</v>
      </c>
    </row>
    <row r="21" spans="1:12" ht="13.5" customHeight="1">
      <c r="A21" s="241" t="s">
        <v>161</v>
      </c>
      <c r="B21" s="505">
        <f>444*Головна!$B$131</f>
        <v>15051.599999999999</v>
      </c>
      <c r="C21" s="506"/>
      <c r="D21" s="505">
        <f>338*Головна!$B$131</f>
        <v>11458.199999999999</v>
      </c>
      <c r="E21" s="506"/>
      <c r="F21" s="505">
        <f>463*Головна!$B$131</f>
        <v>15695.699999999999</v>
      </c>
      <c r="G21" s="506"/>
      <c r="H21" s="507" t="s">
        <v>722</v>
      </c>
      <c r="I21" s="507"/>
      <c r="J21" s="538" t="s">
        <v>722</v>
      </c>
      <c r="K21" s="539"/>
      <c r="L21" s="396" t="s">
        <v>722</v>
      </c>
    </row>
    <row r="22" spans="1:12" ht="13.5" customHeight="1">
      <c r="A22" s="241" t="s">
        <v>691</v>
      </c>
      <c r="B22" s="517" t="s">
        <v>722</v>
      </c>
      <c r="C22" s="517"/>
      <c r="D22" s="505">
        <f>338*Головна!$B$131</f>
        <v>11458.199999999999</v>
      </c>
      <c r="E22" s="506"/>
      <c r="F22" s="505">
        <f>463*Головна!$B$131</f>
        <v>15695.699999999999</v>
      </c>
      <c r="G22" s="506"/>
      <c r="H22" s="507" t="s">
        <v>722</v>
      </c>
      <c r="I22" s="507"/>
      <c r="J22" s="538" t="s">
        <v>722</v>
      </c>
      <c r="K22" s="539"/>
      <c r="L22" s="396" t="s">
        <v>722</v>
      </c>
    </row>
    <row r="23" spans="1:12" ht="13.5" customHeight="1">
      <c r="A23" s="241" t="s">
        <v>162</v>
      </c>
      <c r="B23" s="517" t="s">
        <v>722</v>
      </c>
      <c r="C23" s="517"/>
      <c r="D23" s="505">
        <f>338*Головна!$B$131</f>
        <v>11458.199999999999</v>
      </c>
      <c r="E23" s="506"/>
      <c r="F23" s="505">
        <f>463*Головна!$B$131</f>
        <v>15695.699999999999</v>
      </c>
      <c r="G23" s="506"/>
      <c r="H23" s="507" t="s">
        <v>722</v>
      </c>
      <c r="I23" s="507"/>
      <c r="J23" s="517" t="s">
        <v>722</v>
      </c>
      <c r="K23" s="525"/>
      <c r="L23" s="396" t="s">
        <v>722</v>
      </c>
    </row>
    <row r="24" spans="1:12" ht="13.5" customHeight="1">
      <c r="A24" s="241" t="s">
        <v>695</v>
      </c>
      <c r="B24" s="505">
        <f>444*Головна!$B$131</f>
        <v>15051.599999999999</v>
      </c>
      <c r="C24" s="506"/>
      <c r="D24" s="505">
        <f>338*Головна!$B$131</f>
        <v>11458.199999999999</v>
      </c>
      <c r="E24" s="506"/>
      <c r="F24" s="505">
        <f>463*Головна!$B$131</f>
        <v>15695.699999999999</v>
      </c>
      <c r="G24" s="506"/>
      <c r="H24" s="505">
        <f>480*Головна!$B$131</f>
        <v>16272</v>
      </c>
      <c r="I24" s="506"/>
      <c r="J24" s="507" t="s">
        <v>722</v>
      </c>
      <c r="K24" s="536"/>
      <c r="L24" s="394">
        <f>435*Головна!$B$131</f>
        <v>14746.5</v>
      </c>
    </row>
    <row r="25" spans="1:12" ht="13.5" customHeight="1">
      <c r="A25" s="241" t="s">
        <v>163</v>
      </c>
      <c r="B25" s="505">
        <f>444*Головна!$B$131</f>
        <v>15051.599999999999</v>
      </c>
      <c r="C25" s="506"/>
      <c r="D25" s="505">
        <f>338*Головна!$B$131</f>
        <v>11458.199999999999</v>
      </c>
      <c r="E25" s="506"/>
      <c r="F25" s="505">
        <f>463*Головна!$B$131</f>
        <v>15695.699999999999</v>
      </c>
      <c r="G25" s="506"/>
      <c r="H25" s="505">
        <f>480*Головна!$B$131</f>
        <v>16272</v>
      </c>
      <c r="I25" s="506"/>
      <c r="J25" s="507" t="s">
        <v>722</v>
      </c>
      <c r="K25" s="536"/>
      <c r="L25" s="394">
        <f>435*Головна!$B$131</f>
        <v>14746.5</v>
      </c>
    </row>
    <row r="26" spans="1:12" ht="13.5" customHeight="1">
      <c r="A26" s="241" t="s">
        <v>643</v>
      </c>
      <c r="B26" s="517" t="s">
        <v>722</v>
      </c>
      <c r="C26" s="517"/>
      <c r="D26" s="505">
        <f>338*Головна!$B$131</f>
        <v>11458.199999999999</v>
      </c>
      <c r="E26" s="506"/>
      <c r="F26" s="505">
        <f>463*Головна!$B$131</f>
        <v>15695.699999999999</v>
      </c>
      <c r="G26" s="506"/>
      <c r="H26" s="507" t="s">
        <v>722</v>
      </c>
      <c r="I26" s="507"/>
      <c r="J26" s="507" t="s">
        <v>722</v>
      </c>
      <c r="K26" s="536"/>
      <c r="L26" s="396" t="s">
        <v>722</v>
      </c>
    </row>
    <row r="27" spans="1:12" ht="13.5" customHeight="1">
      <c r="A27" s="241" t="s">
        <v>164</v>
      </c>
      <c r="B27" s="517" t="s">
        <v>722</v>
      </c>
      <c r="C27" s="517"/>
      <c r="D27" s="505">
        <f>338*Головна!$B$131</f>
        <v>11458.199999999999</v>
      </c>
      <c r="E27" s="506"/>
      <c r="F27" s="505">
        <f>463*Головна!$B$131</f>
        <v>15695.699999999999</v>
      </c>
      <c r="G27" s="506"/>
      <c r="H27" s="507" t="s">
        <v>722</v>
      </c>
      <c r="I27" s="507"/>
      <c r="J27" s="507" t="s">
        <v>722</v>
      </c>
      <c r="K27" s="536"/>
      <c r="L27" s="396" t="s">
        <v>722</v>
      </c>
    </row>
    <row r="28" spans="1:12" ht="12.75">
      <c r="A28" s="241" t="s">
        <v>179</v>
      </c>
      <c r="B28" s="505" t="s">
        <v>722</v>
      </c>
      <c r="C28" s="506"/>
      <c r="D28" s="505">
        <f>338*Головна!$B$131</f>
        <v>11458.199999999999</v>
      </c>
      <c r="E28" s="506"/>
      <c r="F28" s="505">
        <f>463*Головна!$B$131</f>
        <v>15695.699999999999</v>
      </c>
      <c r="G28" s="506"/>
      <c r="H28" s="520" t="s">
        <v>722</v>
      </c>
      <c r="I28" s="520"/>
      <c r="J28" s="505" t="s">
        <v>722</v>
      </c>
      <c r="K28" s="506"/>
      <c r="L28" s="392" t="s">
        <v>722</v>
      </c>
    </row>
    <row r="29" spans="1:12" ht="13.5" customHeight="1">
      <c r="A29" s="241" t="s">
        <v>1201</v>
      </c>
      <c r="B29" s="505">
        <f>444*Головна!$B$131</f>
        <v>15051.599999999999</v>
      </c>
      <c r="C29" s="506"/>
      <c r="D29" s="505">
        <f>338*Головна!$B$131</f>
        <v>11458.199999999999</v>
      </c>
      <c r="E29" s="506"/>
      <c r="F29" s="505">
        <f>463*Головна!$B$131</f>
        <v>15695.699999999999</v>
      </c>
      <c r="G29" s="506"/>
      <c r="H29" s="520" t="s">
        <v>722</v>
      </c>
      <c r="I29" s="520"/>
      <c r="J29" s="505" t="s">
        <v>722</v>
      </c>
      <c r="K29" s="506"/>
      <c r="L29" s="394">
        <f>435*Головна!$B$131</f>
        <v>14746.5</v>
      </c>
    </row>
    <row r="30" spans="1:12" ht="13.5" customHeight="1">
      <c r="A30" s="241" t="s">
        <v>649</v>
      </c>
      <c r="B30" s="505">
        <f>444*Головна!$B$131</f>
        <v>15051.599999999999</v>
      </c>
      <c r="C30" s="506"/>
      <c r="D30" s="505">
        <f>338*Головна!$B$131</f>
        <v>11458.199999999999</v>
      </c>
      <c r="E30" s="506"/>
      <c r="F30" s="505">
        <f>463*Головна!$B$131</f>
        <v>15695.699999999999</v>
      </c>
      <c r="G30" s="506"/>
      <c r="H30" s="515" t="s">
        <v>722</v>
      </c>
      <c r="I30" s="516"/>
      <c r="J30" s="537" t="s">
        <v>722</v>
      </c>
      <c r="K30" s="536"/>
      <c r="L30" s="394" t="s">
        <v>722</v>
      </c>
    </row>
    <row r="31" spans="1:12" ht="13.5" customHeight="1">
      <c r="A31" s="241" t="s">
        <v>165</v>
      </c>
      <c r="B31" s="505">
        <f>444*Головна!$B$131</f>
        <v>15051.599999999999</v>
      </c>
      <c r="C31" s="506"/>
      <c r="D31" s="505">
        <f>338*Головна!$B$131</f>
        <v>11458.199999999999</v>
      </c>
      <c r="E31" s="506"/>
      <c r="F31" s="505">
        <f>463*Головна!$B$131</f>
        <v>15695.699999999999</v>
      </c>
      <c r="G31" s="506"/>
      <c r="H31" s="507" t="s">
        <v>722</v>
      </c>
      <c r="I31" s="507"/>
      <c r="J31" s="507" t="s">
        <v>722</v>
      </c>
      <c r="K31" s="536"/>
      <c r="L31" s="396" t="s">
        <v>722</v>
      </c>
    </row>
    <row r="32" spans="1:12" ht="13.5" customHeight="1">
      <c r="A32" s="241" t="s">
        <v>167</v>
      </c>
      <c r="B32" s="517" t="s">
        <v>722</v>
      </c>
      <c r="C32" s="517"/>
      <c r="D32" s="505">
        <f>338*Головна!$B$131</f>
        <v>11458.199999999999</v>
      </c>
      <c r="E32" s="506"/>
      <c r="F32" s="505">
        <f>463*Головна!$B$131</f>
        <v>15695.699999999999</v>
      </c>
      <c r="G32" s="506"/>
      <c r="H32" s="507" t="s">
        <v>722</v>
      </c>
      <c r="I32" s="507"/>
      <c r="J32" s="507" t="s">
        <v>722</v>
      </c>
      <c r="K32" s="536"/>
      <c r="L32" s="396" t="s">
        <v>722</v>
      </c>
    </row>
    <row r="33" spans="1:12" ht="13.5" customHeight="1">
      <c r="A33" s="241" t="s">
        <v>1202</v>
      </c>
      <c r="B33" s="517" t="s">
        <v>722</v>
      </c>
      <c r="C33" s="517"/>
      <c r="D33" s="505">
        <f>338*Головна!$B$131</f>
        <v>11458.199999999999</v>
      </c>
      <c r="E33" s="506"/>
      <c r="F33" s="505">
        <f>463*Головна!$B$131</f>
        <v>15695.699999999999</v>
      </c>
      <c r="G33" s="506"/>
      <c r="H33" s="507" t="s">
        <v>722</v>
      </c>
      <c r="I33" s="507"/>
      <c r="J33" s="507"/>
      <c r="K33" s="536"/>
      <c r="L33" s="396"/>
    </row>
    <row r="34" spans="1:12" ht="12.75" customHeight="1">
      <c r="A34" s="241" t="s">
        <v>172</v>
      </c>
      <c r="B34" s="505">
        <f>444*Головна!$B$131</f>
        <v>15051.599999999999</v>
      </c>
      <c r="C34" s="506"/>
      <c r="D34" s="505">
        <f>338*Головна!$B$131</f>
        <v>11458.199999999999</v>
      </c>
      <c r="E34" s="506"/>
      <c r="F34" s="505">
        <f>463*Головна!$B$131</f>
        <v>15695.699999999999</v>
      </c>
      <c r="G34" s="506"/>
      <c r="H34" s="505">
        <f>480*Головна!$B$131</f>
        <v>16272</v>
      </c>
      <c r="I34" s="506"/>
      <c r="J34" s="537" t="s">
        <v>722</v>
      </c>
      <c r="K34" s="536"/>
      <c r="L34" s="394" t="s">
        <v>722</v>
      </c>
    </row>
    <row r="35" spans="1:12" ht="12.75" customHeight="1">
      <c r="A35" s="395" t="s">
        <v>168</v>
      </c>
      <c r="B35" s="505" t="s">
        <v>722</v>
      </c>
      <c r="C35" s="506"/>
      <c r="D35" s="505">
        <f>338*Головна!$B$131</f>
        <v>11458.199999999999</v>
      </c>
      <c r="E35" s="506"/>
      <c r="F35" s="505">
        <f>463*Головна!$B$131</f>
        <v>15695.699999999999</v>
      </c>
      <c r="G35" s="506"/>
      <c r="H35" s="500" t="s">
        <v>722</v>
      </c>
      <c r="I35" s="501"/>
      <c r="J35" s="500" t="s">
        <v>722</v>
      </c>
      <c r="K35" s="501"/>
      <c r="L35" s="396" t="s">
        <v>722</v>
      </c>
    </row>
    <row r="36" spans="1:12" ht="13.5" customHeight="1">
      <c r="A36" s="242" t="s">
        <v>174</v>
      </c>
      <c r="B36" s="505">
        <f>444*Головна!$B$131</f>
        <v>15051.599999999999</v>
      </c>
      <c r="C36" s="506"/>
      <c r="D36" s="505">
        <f>338*Головна!$B$131</f>
        <v>11458.199999999999</v>
      </c>
      <c r="E36" s="506"/>
      <c r="F36" s="505">
        <f>463*Головна!$B$131</f>
        <v>15695.699999999999</v>
      </c>
      <c r="G36" s="506"/>
      <c r="H36" s="505">
        <f>480*Головна!$B$131</f>
        <v>16272</v>
      </c>
      <c r="I36" s="506"/>
      <c r="J36" s="544" t="s">
        <v>722</v>
      </c>
      <c r="K36" s="545"/>
      <c r="L36" s="397" t="s">
        <v>722</v>
      </c>
    </row>
    <row r="37" spans="1:12" ht="13.5" customHeight="1">
      <c r="A37" s="241" t="s">
        <v>682</v>
      </c>
      <c r="B37" s="521" t="s">
        <v>722</v>
      </c>
      <c r="C37" s="522"/>
      <c r="D37" s="521">
        <f>444*Головна!$B$131</f>
        <v>15051.599999999999</v>
      </c>
      <c r="E37" s="523"/>
      <c r="F37" s="521">
        <f>619*Головна!$B$131</f>
        <v>20984.1</v>
      </c>
      <c r="G37" s="523"/>
      <c r="H37" s="521" t="s">
        <v>722</v>
      </c>
      <c r="I37" s="522"/>
      <c r="J37" s="518" t="s">
        <v>722</v>
      </c>
      <c r="K37" s="519"/>
      <c r="L37" s="402">
        <f>573*Головна!$B$131</f>
        <v>19424.7</v>
      </c>
    </row>
    <row r="38" spans="1:12" ht="13.5" customHeight="1">
      <c r="A38" s="241" t="s">
        <v>653</v>
      </c>
      <c r="B38" s="505" t="s">
        <v>722</v>
      </c>
      <c r="C38" s="506"/>
      <c r="D38" s="505">
        <f>444*Головна!$B$131</f>
        <v>15051.599999999999</v>
      </c>
      <c r="E38" s="506"/>
      <c r="F38" s="505">
        <f>619*Головна!$B$131</f>
        <v>20984.1</v>
      </c>
      <c r="G38" s="506"/>
      <c r="H38" s="505">
        <f>644*Головна!$B$131</f>
        <v>21831.6</v>
      </c>
      <c r="I38" s="506"/>
      <c r="J38" s="520" t="s">
        <v>722</v>
      </c>
      <c r="K38" s="520"/>
      <c r="L38" s="396">
        <f>573*Головна!$B$131</f>
        <v>19424.7</v>
      </c>
    </row>
    <row r="39" spans="1:12" ht="13.5" customHeight="1">
      <c r="A39" s="241" t="s">
        <v>1136</v>
      </c>
      <c r="B39" s="505">
        <f>588*Головна!$B$131</f>
        <v>19933.2</v>
      </c>
      <c r="C39" s="506"/>
      <c r="D39" s="505">
        <f>444*Головна!$B$131</f>
        <v>15051.599999999999</v>
      </c>
      <c r="E39" s="506"/>
      <c r="F39" s="505">
        <f>619*Головна!$B$131</f>
        <v>20984.1</v>
      </c>
      <c r="G39" s="506"/>
      <c r="H39" s="505" t="s">
        <v>722</v>
      </c>
      <c r="I39" s="506"/>
      <c r="J39" s="520" t="s">
        <v>722</v>
      </c>
      <c r="K39" s="520"/>
      <c r="L39" s="243" t="s">
        <v>722</v>
      </c>
    </row>
    <row r="40" spans="1:12" ht="13.5" customHeight="1">
      <c r="A40" s="241" t="s">
        <v>171</v>
      </c>
      <c r="B40" s="505">
        <f>588*Головна!$B$131</f>
        <v>19933.2</v>
      </c>
      <c r="C40" s="506"/>
      <c r="D40" s="505">
        <f>444*Головна!$B$131</f>
        <v>15051.599999999999</v>
      </c>
      <c r="E40" s="506"/>
      <c r="F40" s="505">
        <f>619*Головна!$B$131</f>
        <v>20984.1</v>
      </c>
      <c r="G40" s="506"/>
      <c r="H40" s="524" t="s">
        <v>722</v>
      </c>
      <c r="I40" s="525"/>
      <c r="J40" s="518" t="s">
        <v>722</v>
      </c>
      <c r="K40" s="519"/>
      <c r="L40" s="243" t="s">
        <v>722</v>
      </c>
    </row>
    <row r="41" spans="1:12" ht="13.5" customHeight="1">
      <c r="A41" s="241" t="s">
        <v>177</v>
      </c>
      <c r="B41" s="524" t="s">
        <v>722</v>
      </c>
      <c r="C41" s="525"/>
      <c r="D41" s="505">
        <f>444*Головна!$B$131</f>
        <v>15051.599999999999</v>
      </c>
      <c r="E41" s="506"/>
      <c r="F41" s="505">
        <f>619*Головна!$B$131</f>
        <v>20984.1</v>
      </c>
      <c r="G41" s="506"/>
      <c r="H41" s="505">
        <f>644*Головна!$B$131</f>
        <v>21831.6</v>
      </c>
      <c r="I41" s="506"/>
      <c r="J41" s="518" t="s">
        <v>722</v>
      </c>
      <c r="K41" s="519"/>
      <c r="L41" s="396">
        <f>573*Головна!$B$131</f>
        <v>19424.7</v>
      </c>
    </row>
    <row r="42" spans="1:12" ht="12.75">
      <c r="A42" s="241" t="s">
        <v>178</v>
      </c>
      <c r="B42" s="524" t="s">
        <v>722</v>
      </c>
      <c r="C42" s="525"/>
      <c r="D42" s="505">
        <f>444*Головна!$B$131</f>
        <v>15051.599999999999</v>
      </c>
      <c r="E42" s="506"/>
      <c r="F42" s="505">
        <f>619*Головна!$B$131</f>
        <v>20984.1</v>
      </c>
      <c r="G42" s="506"/>
      <c r="H42" s="505">
        <f>644*Головна!$B$131</f>
        <v>21831.6</v>
      </c>
      <c r="I42" s="506"/>
      <c r="J42" s="518" t="s">
        <v>722</v>
      </c>
      <c r="K42" s="519"/>
      <c r="L42" s="243" t="s">
        <v>722</v>
      </c>
    </row>
    <row r="43" spans="1:12" ht="12.75" customHeight="1">
      <c r="A43" s="241" t="s">
        <v>1200</v>
      </c>
      <c r="B43" s="526">
        <f>588*Головна!$B$131</f>
        <v>19933.2</v>
      </c>
      <c r="C43" s="527"/>
      <c r="D43" s="526">
        <f>444*Головна!$B$131</f>
        <v>15051.599999999999</v>
      </c>
      <c r="E43" s="527"/>
      <c r="F43" s="526">
        <f>619*Головна!$B$131</f>
        <v>20984.1</v>
      </c>
      <c r="G43" s="527"/>
      <c r="H43" s="526">
        <f>644*Головна!$B$131</f>
        <v>21831.6</v>
      </c>
      <c r="I43" s="527"/>
      <c r="J43" s="546" t="s">
        <v>722</v>
      </c>
      <c r="K43" s="546"/>
      <c r="L43" s="378" t="s">
        <v>722</v>
      </c>
    </row>
    <row r="44" spans="1:12" ht="12.75" customHeight="1">
      <c r="A44" s="240" t="s">
        <v>680</v>
      </c>
      <c r="B44" s="528" t="s">
        <v>722</v>
      </c>
      <c r="C44" s="529"/>
      <c r="D44" s="521">
        <f>519*Головна!$B$131</f>
        <v>17594.1</v>
      </c>
      <c r="E44" s="523"/>
      <c r="F44" s="521">
        <f>731*Головна!$B$131</f>
        <v>24780.899999999998</v>
      </c>
      <c r="G44" s="523"/>
      <c r="H44" s="530" t="s">
        <v>722</v>
      </c>
      <c r="I44" s="522"/>
      <c r="J44" s="530" t="s">
        <v>722</v>
      </c>
      <c r="K44" s="522"/>
      <c r="L44" s="398" t="s">
        <v>722</v>
      </c>
    </row>
    <row r="45" spans="1:12" ht="13.5" customHeight="1">
      <c r="A45" s="241" t="s">
        <v>723</v>
      </c>
      <c r="B45" s="505">
        <f>688*Головна!$B$131</f>
        <v>23323.2</v>
      </c>
      <c r="C45" s="520"/>
      <c r="D45" s="505">
        <f>519*Головна!$B$131</f>
        <v>17594.1</v>
      </c>
      <c r="E45" s="506"/>
      <c r="F45" s="505">
        <f>731*Головна!$B$131</f>
        <v>24780.899999999998</v>
      </c>
      <c r="G45" s="506"/>
      <c r="H45" s="505">
        <f>760*Головна!$B$131</f>
        <v>25764</v>
      </c>
      <c r="I45" s="506"/>
      <c r="J45" s="505">
        <f>715*Головна!$B$131</f>
        <v>24238.5</v>
      </c>
      <c r="K45" s="506"/>
      <c r="L45" s="394">
        <f>675*Головна!$B$131</f>
        <v>22882.5</v>
      </c>
    </row>
    <row r="46" spans="1:12" ht="13.5" customHeight="1">
      <c r="A46" s="241" t="s">
        <v>683</v>
      </c>
      <c r="B46" s="517" t="s">
        <v>722</v>
      </c>
      <c r="C46" s="519"/>
      <c r="D46" s="505">
        <f>519*Головна!$B$131</f>
        <v>17594.1</v>
      </c>
      <c r="E46" s="506"/>
      <c r="F46" s="505">
        <f>731*Головна!$B$131</f>
        <v>24780.899999999998</v>
      </c>
      <c r="G46" s="506"/>
      <c r="H46" s="524" t="s">
        <v>722</v>
      </c>
      <c r="I46" s="525"/>
      <c r="J46" s="524" t="s">
        <v>722</v>
      </c>
      <c r="K46" s="525"/>
      <c r="L46" s="243" t="s">
        <v>722</v>
      </c>
    </row>
    <row r="47" spans="1:12" ht="13.5" customHeight="1">
      <c r="A47" s="241" t="s">
        <v>1203</v>
      </c>
      <c r="B47" s="517" t="s">
        <v>722</v>
      </c>
      <c r="C47" s="519"/>
      <c r="D47" s="505">
        <f>519*Головна!$B$131</f>
        <v>17594.1</v>
      </c>
      <c r="E47" s="506"/>
      <c r="F47" s="505">
        <f>731*Головна!$B$131</f>
        <v>24780.899999999998</v>
      </c>
      <c r="G47" s="506"/>
      <c r="H47" s="524" t="s">
        <v>722</v>
      </c>
      <c r="I47" s="525"/>
      <c r="J47" s="524" t="s">
        <v>722</v>
      </c>
      <c r="K47" s="525"/>
      <c r="L47" s="394">
        <f>675*Головна!$B$131</f>
        <v>22882.5</v>
      </c>
    </row>
    <row r="48" spans="1:12" ht="13.5" customHeight="1">
      <c r="A48" s="241" t="s">
        <v>666</v>
      </c>
      <c r="B48" s="505">
        <f>688*Головна!$B$131</f>
        <v>23323.2</v>
      </c>
      <c r="C48" s="520"/>
      <c r="D48" s="505">
        <f>519*Головна!$B$131</f>
        <v>17594.1</v>
      </c>
      <c r="E48" s="506"/>
      <c r="F48" s="505">
        <f>731*Головна!$B$131</f>
        <v>24780.899999999998</v>
      </c>
      <c r="G48" s="506"/>
      <c r="H48" s="505">
        <f>760*Головна!$B$131</f>
        <v>25764</v>
      </c>
      <c r="I48" s="506"/>
      <c r="J48" s="524" t="s">
        <v>722</v>
      </c>
      <c r="K48" s="525"/>
      <c r="L48" s="394">
        <f>675*Головна!$B$131</f>
        <v>22882.5</v>
      </c>
    </row>
    <row r="49" spans="1:12" ht="13.5" customHeight="1">
      <c r="A49" s="241" t="s">
        <v>660</v>
      </c>
      <c r="B49" s="517" t="s">
        <v>722</v>
      </c>
      <c r="C49" s="519"/>
      <c r="D49" s="505">
        <f>519*Головна!$B$131</f>
        <v>17594.1</v>
      </c>
      <c r="E49" s="506"/>
      <c r="F49" s="505">
        <f>731*Головна!$B$131</f>
        <v>24780.899999999998</v>
      </c>
      <c r="G49" s="506"/>
      <c r="H49" s="505">
        <f>760*Головна!$B$131</f>
        <v>25764</v>
      </c>
      <c r="I49" s="506"/>
      <c r="J49" s="524" t="s">
        <v>722</v>
      </c>
      <c r="K49" s="525"/>
      <c r="L49" s="394">
        <f>675*Головна!$B$131</f>
        <v>22882.5</v>
      </c>
    </row>
    <row r="50" spans="1:12" ht="13.5" customHeight="1">
      <c r="A50" s="242" t="s">
        <v>693</v>
      </c>
      <c r="B50" s="547" t="s">
        <v>722</v>
      </c>
      <c r="C50" s="548"/>
      <c r="D50" s="526">
        <f>519*Головна!$B$131</f>
        <v>17594.1</v>
      </c>
      <c r="E50" s="527"/>
      <c r="F50" s="526">
        <f>731*Головна!$B$131</f>
        <v>24780.899999999998</v>
      </c>
      <c r="G50" s="527"/>
      <c r="H50" s="526">
        <f>760*Головна!$B$131</f>
        <v>25764</v>
      </c>
      <c r="I50" s="527"/>
      <c r="J50" s="526">
        <f>715*Головна!$B$131</f>
        <v>24238.5</v>
      </c>
      <c r="K50" s="527"/>
      <c r="L50" s="399" t="s">
        <v>722</v>
      </c>
    </row>
    <row r="51" spans="1:12" ht="13.5" customHeight="1">
      <c r="A51" s="244"/>
      <c r="B51" s="245"/>
      <c r="C51" s="245"/>
      <c r="D51" s="245"/>
      <c r="E51" s="245"/>
      <c r="F51" s="245"/>
      <c r="G51" s="245"/>
      <c r="H51" s="246"/>
      <c r="I51" s="246"/>
      <c r="L51" s="1"/>
    </row>
    <row r="52" spans="1:12" ht="13.5" customHeight="1">
      <c r="A52" s="491" t="s">
        <v>1134</v>
      </c>
      <c r="B52" s="491"/>
      <c r="C52" s="491"/>
      <c r="D52" s="491"/>
      <c r="E52" s="491"/>
      <c r="F52" s="491"/>
      <c r="G52" s="491"/>
      <c r="H52" s="491"/>
      <c r="I52" s="246"/>
      <c r="L52" s="1"/>
    </row>
    <row r="53" spans="1:11" ht="33" customHeight="1">
      <c r="A53" s="542" t="s">
        <v>1204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</row>
    <row r="54" spans="1:11" ht="33" customHeight="1">
      <c r="A54" s="542" t="s">
        <v>727</v>
      </c>
      <c r="B54" s="542"/>
      <c r="C54" s="542"/>
      <c r="D54" s="542"/>
      <c r="E54" s="542"/>
      <c r="F54" s="542"/>
      <c r="G54" s="542"/>
      <c r="H54" s="542"/>
      <c r="I54" s="542"/>
      <c r="J54" s="542"/>
      <c r="K54" s="542"/>
    </row>
    <row r="55" spans="1:7" ht="24.75" customHeight="1">
      <c r="A55" s="543" t="s">
        <v>728</v>
      </c>
      <c r="B55" s="543"/>
      <c r="C55" s="52"/>
      <c r="D55" s="248"/>
      <c r="E55" s="248"/>
      <c r="F55" s="248"/>
      <c r="G55" s="248"/>
    </row>
    <row r="56" spans="1:9" ht="11.25" customHeight="1">
      <c r="A56" s="541" t="s">
        <v>315</v>
      </c>
      <c r="B56" s="541"/>
      <c r="C56" s="249"/>
      <c r="D56" s="249"/>
      <c r="E56" s="249"/>
      <c r="F56" s="249"/>
      <c r="G56" s="247"/>
      <c r="H56" s="22"/>
      <c r="I56" s="22"/>
    </row>
    <row r="57" spans="1:9" ht="11.25" customHeight="1">
      <c r="A57" s="541" t="s">
        <v>181</v>
      </c>
      <c r="B57" s="541"/>
      <c r="C57" s="249"/>
      <c r="D57" s="249"/>
      <c r="E57" s="249"/>
      <c r="F57" s="249"/>
      <c r="G57" s="247"/>
      <c r="H57" s="22"/>
      <c r="I57" s="22"/>
    </row>
    <row r="58" spans="1:9" ht="11.25" customHeight="1">
      <c r="A58" s="541" t="s">
        <v>729</v>
      </c>
      <c r="B58" s="541"/>
      <c r="C58" s="249"/>
      <c r="D58" s="249"/>
      <c r="E58" s="249"/>
      <c r="F58" s="249"/>
      <c r="G58" s="247"/>
      <c r="H58" s="22"/>
      <c r="I58" s="22"/>
    </row>
    <row r="59" spans="1:9" ht="11.25" customHeight="1">
      <c r="A59" s="541" t="s">
        <v>730</v>
      </c>
      <c r="B59" s="541"/>
      <c r="C59" s="541"/>
      <c r="D59" s="541"/>
      <c r="E59" s="249"/>
      <c r="F59" s="249"/>
      <c r="G59" s="247"/>
      <c r="H59" s="22"/>
      <c r="I59" s="22"/>
    </row>
    <row r="60" spans="1:9" ht="11.25" customHeight="1">
      <c r="A60" s="541" t="s">
        <v>731</v>
      </c>
      <c r="B60" s="541"/>
      <c r="C60" s="541"/>
      <c r="D60" s="541"/>
      <c r="E60" s="541"/>
      <c r="F60" s="541"/>
      <c r="G60" s="247"/>
      <c r="H60" s="22"/>
      <c r="I60" s="22"/>
    </row>
    <row r="61" spans="2:9" ht="11.25" customHeight="1">
      <c r="B61" s="30"/>
      <c r="C61" s="30"/>
      <c r="I61" s="22" t="s">
        <v>399</v>
      </c>
    </row>
    <row r="63" ht="12.75" customHeight="1"/>
    <row r="65" ht="12.75" customHeight="1"/>
  </sheetData>
  <sheetProtection/>
  <mergeCells count="225"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J45:K45"/>
    <mergeCell ref="J46:K46"/>
    <mergeCell ref="H47:I47"/>
    <mergeCell ref="J47:K47"/>
    <mergeCell ref="B48:C48"/>
    <mergeCell ref="D48:E48"/>
    <mergeCell ref="F48:G48"/>
    <mergeCell ref="H48:I48"/>
    <mergeCell ref="J48:K48"/>
    <mergeCell ref="B46:C46"/>
    <mergeCell ref="J38:K38"/>
    <mergeCell ref="J40:K40"/>
    <mergeCell ref="J41:K41"/>
    <mergeCell ref="J42:K42"/>
    <mergeCell ref="J43:K43"/>
    <mergeCell ref="J44:K44"/>
    <mergeCell ref="J39:K39"/>
    <mergeCell ref="J34:K34"/>
    <mergeCell ref="B35:C35"/>
    <mergeCell ref="D35:E35"/>
    <mergeCell ref="F35:G35"/>
    <mergeCell ref="J36:K36"/>
    <mergeCell ref="J37:K37"/>
    <mergeCell ref="B36:C36"/>
    <mergeCell ref="D36:E36"/>
    <mergeCell ref="F36:G36"/>
    <mergeCell ref="H36:I36"/>
    <mergeCell ref="B13:C13"/>
    <mergeCell ref="D13:E13"/>
    <mergeCell ref="F13:G13"/>
    <mergeCell ref="H13:I13"/>
    <mergeCell ref="J13:K13"/>
    <mergeCell ref="J33:K33"/>
    <mergeCell ref="J25:K25"/>
    <mergeCell ref="J26:K26"/>
    <mergeCell ref="J27:K27"/>
    <mergeCell ref="J28:K28"/>
    <mergeCell ref="A56:B56"/>
    <mergeCell ref="A57:B57"/>
    <mergeCell ref="A54:K54"/>
    <mergeCell ref="A58:B58"/>
    <mergeCell ref="A60:F60"/>
    <mergeCell ref="A53:K53"/>
    <mergeCell ref="A55:B55"/>
    <mergeCell ref="A59:D59"/>
    <mergeCell ref="J29:K29"/>
    <mergeCell ref="J30:K30"/>
    <mergeCell ref="J31:K31"/>
    <mergeCell ref="J32:K32"/>
    <mergeCell ref="J35:K35"/>
    <mergeCell ref="J19:K19"/>
    <mergeCell ref="J20:K20"/>
    <mergeCell ref="J21:K21"/>
    <mergeCell ref="J22:K22"/>
    <mergeCell ref="J23:K23"/>
    <mergeCell ref="J24:K24"/>
    <mergeCell ref="J14:K14"/>
    <mergeCell ref="J15:K15"/>
    <mergeCell ref="H9:I9"/>
    <mergeCell ref="J16:K16"/>
    <mergeCell ref="J17:K17"/>
    <mergeCell ref="J18:K18"/>
    <mergeCell ref="H11:I11"/>
    <mergeCell ref="J12:K12"/>
    <mergeCell ref="A6:H6"/>
    <mergeCell ref="J9:K9"/>
    <mergeCell ref="J10:K10"/>
    <mergeCell ref="J11:K11"/>
    <mergeCell ref="B11:C11"/>
    <mergeCell ref="D11:E11"/>
    <mergeCell ref="D9:E9"/>
    <mergeCell ref="F9:G9"/>
    <mergeCell ref="B9:C9"/>
    <mergeCell ref="B10:C10"/>
    <mergeCell ref="D46:E46"/>
    <mergeCell ref="F46:G46"/>
    <mergeCell ref="H46:I46"/>
    <mergeCell ref="B47:C47"/>
    <mergeCell ref="D47:E47"/>
    <mergeCell ref="F47:G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1:C41"/>
    <mergeCell ref="D41:E41"/>
    <mergeCell ref="F41:G41"/>
    <mergeCell ref="H41:I41"/>
    <mergeCell ref="B40:C40"/>
    <mergeCell ref="D40:E40"/>
    <mergeCell ref="F40:G40"/>
    <mergeCell ref="H40:I40"/>
    <mergeCell ref="B38:C38"/>
    <mergeCell ref="D38:E38"/>
    <mergeCell ref="F38:G38"/>
    <mergeCell ref="H38:I38"/>
    <mergeCell ref="B39:C39"/>
    <mergeCell ref="D39:E39"/>
    <mergeCell ref="F39:G39"/>
    <mergeCell ref="H39:I39"/>
    <mergeCell ref="B37:C37"/>
    <mergeCell ref="D37:E37"/>
    <mergeCell ref="F37:G37"/>
    <mergeCell ref="H37:I37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A9:A10"/>
    <mergeCell ref="D10:E10"/>
    <mergeCell ref="F10:G10"/>
    <mergeCell ref="H10:I10"/>
    <mergeCell ref="B12:C12"/>
    <mergeCell ref="D12:E12"/>
    <mergeCell ref="F12:G12"/>
    <mergeCell ref="H12:I12"/>
    <mergeCell ref="F11:G11"/>
    <mergeCell ref="A52:H52"/>
    <mergeCell ref="H35:I35"/>
    <mergeCell ref="A2:F2"/>
    <mergeCell ref="B4:F4"/>
    <mergeCell ref="A5:H5"/>
    <mergeCell ref="B21:C21"/>
    <mergeCell ref="H21:I21"/>
    <mergeCell ref="D21:E21"/>
    <mergeCell ref="F21:G21"/>
    <mergeCell ref="A7:H7"/>
  </mergeCells>
  <hyperlinks>
    <hyperlink ref="A7" r:id="rId1" display="Смотрите виды и характеристики моек Silestone на сайте:"/>
    <hyperlink ref="I61" location="Главная!R1C1" display="на главную"/>
  </hyperlinks>
  <printOptions/>
  <pageMargins left="0.14" right="0.06" top="0.07" bottom="0.15" header="0.13" footer="0.13"/>
  <pageSetup fitToHeight="1" fitToWidth="1" horizontalDpi="600" verticalDpi="600" orientation="portrait" paperSize="9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6:K79"/>
  <sheetViews>
    <sheetView view="pageBreakPreview" zoomScaleSheetLayoutView="100" zoomScalePageLayoutView="0" workbookViewId="0" topLeftCell="A55">
      <selection activeCell="J62" sqref="J62"/>
    </sheetView>
  </sheetViews>
  <sheetFormatPr defaultColWidth="9.00390625" defaultRowHeight="12.75"/>
  <cols>
    <col min="1" max="1" width="9.125" style="142" customWidth="1"/>
    <col min="2" max="2" width="11.125" style="0" hidden="1" customWidth="1"/>
    <col min="3" max="3" width="13.875" style="0" bestFit="1" customWidth="1"/>
    <col min="7" max="7" width="9.125" style="8" customWidth="1"/>
  </cols>
  <sheetData>
    <row r="1" ht="12.75"/>
    <row r="2" ht="12.75"/>
    <row r="3" ht="12.75"/>
    <row r="4" ht="12.75"/>
    <row r="5" ht="23.25" customHeight="1"/>
    <row r="6" spans="1:11" ht="23.25" customHeight="1">
      <c r="A6" s="139" t="s">
        <v>765</v>
      </c>
      <c r="E6" s="250"/>
      <c r="F6" s="250"/>
      <c r="G6" s="251"/>
      <c r="H6" s="551" t="s">
        <v>124</v>
      </c>
      <c r="I6" s="551"/>
      <c r="J6" s="551"/>
      <c r="K6" s="551"/>
    </row>
    <row r="8" spans="1:10" ht="12.75">
      <c r="A8" s="485" t="s">
        <v>279</v>
      </c>
      <c r="B8" s="196"/>
      <c r="C8" s="485" t="s">
        <v>314</v>
      </c>
      <c r="D8" s="485" t="s">
        <v>732</v>
      </c>
      <c r="E8" s="485"/>
      <c r="F8" s="196"/>
      <c r="G8" s="485"/>
      <c r="H8" s="485"/>
      <c r="I8" s="485"/>
      <c r="J8" s="485"/>
    </row>
    <row r="9" spans="1:10" ht="12.75">
      <c r="A9" s="485"/>
      <c r="B9" s="196" t="s">
        <v>733</v>
      </c>
      <c r="C9" s="485"/>
      <c r="D9" s="196" t="s">
        <v>734</v>
      </c>
      <c r="E9" s="196" t="s">
        <v>735</v>
      </c>
      <c r="F9" s="196" t="s">
        <v>736</v>
      </c>
      <c r="G9" s="196" t="s">
        <v>147</v>
      </c>
      <c r="H9" s="196" t="s">
        <v>112</v>
      </c>
      <c r="I9" s="196" t="s">
        <v>113</v>
      </c>
      <c r="J9" s="196" t="s">
        <v>637</v>
      </c>
    </row>
    <row r="10" spans="1:9" ht="12.75">
      <c r="A10" s="550">
        <v>0</v>
      </c>
      <c r="C10" t="s">
        <v>1138</v>
      </c>
      <c r="G10" s="553">
        <f>145*Головна!$B$131</f>
        <v>4915.5</v>
      </c>
      <c r="H10" s="553">
        <f>175*Головна!$B$131</f>
        <v>5932.5</v>
      </c>
      <c r="I10" s="553">
        <f>210*Головна!$B$131</f>
        <v>7119</v>
      </c>
    </row>
    <row r="11" spans="1:10" ht="12.75">
      <c r="A11" s="550"/>
      <c r="C11" s="253" t="s">
        <v>737</v>
      </c>
      <c r="D11" s="253"/>
      <c r="E11" s="253"/>
      <c r="F11" s="253"/>
      <c r="G11" s="553"/>
      <c r="H11" s="553"/>
      <c r="I11" s="553"/>
      <c r="J11" s="253"/>
    </row>
    <row r="12" spans="1:10" ht="12.75">
      <c r="A12" s="550"/>
      <c r="C12" t="s">
        <v>740</v>
      </c>
      <c r="G12" s="553"/>
      <c r="H12" s="553"/>
      <c r="I12" s="553"/>
      <c r="J12" s="8">
        <f>260*Головна!$B$131</f>
        <v>8814</v>
      </c>
    </row>
    <row r="13" spans="1:10" ht="13.5" customHeight="1">
      <c r="A13" s="550"/>
      <c r="C13" s="253" t="s">
        <v>1139</v>
      </c>
      <c r="D13" s="253"/>
      <c r="E13" s="253"/>
      <c r="F13" s="253"/>
      <c r="G13" s="553"/>
      <c r="H13" s="553"/>
      <c r="I13" s="553"/>
      <c r="J13" s="254"/>
    </row>
    <row r="14" spans="1:9" ht="12.75">
      <c r="A14" s="550"/>
      <c r="C14" t="s">
        <v>743</v>
      </c>
      <c r="G14" s="553"/>
      <c r="H14" s="553"/>
      <c r="I14" s="553"/>
    </row>
    <row r="15" spans="1:10" ht="12.75">
      <c r="A15" s="550"/>
      <c r="C15" s="253" t="s">
        <v>1140</v>
      </c>
      <c r="D15" s="253"/>
      <c r="E15" s="253"/>
      <c r="F15" s="253"/>
      <c r="G15" s="553"/>
      <c r="H15" s="553"/>
      <c r="I15" s="553"/>
      <c r="J15" s="254"/>
    </row>
    <row r="16" spans="1:10" ht="12.75">
      <c r="A16" s="550"/>
      <c r="C16" t="s">
        <v>738</v>
      </c>
      <c r="G16" s="553"/>
      <c r="H16" s="553"/>
      <c r="I16" s="553"/>
      <c r="J16" s="8">
        <f>260*Головна!$B$131</f>
        <v>8814</v>
      </c>
    </row>
    <row r="17" spans="1:10" ht="12.75">
      <c r="A17" s="550"/>
      <c r="C17" s="253" t="s">
        <v>1133</v>
      </c>
      <c r="D17" s="253"/>
      <c r="E17" s="253"/>
      <c r="F17" s="253"/>
      <c r="G17" s="553"/>
      <c r="H17" s="553"/>
      <c r="I17" s="553"/>
      <c r="J17" s="253"/>
    </row>
    <row r="18" spans="1:10" ht="12.75">
      <c r="A18" s="554" t="s">
        <v>739</v>
      </c>
      <c r="C18" t="s">
        <v>1038</v>
      </c>
      <c r="G18" s="552">
        <f>180*Головна!$B$131</f>
        <v>6102</v>
      </c>
      <c r="H18" s="552">
        <f>205*Головна!$B$131</f>
        <v>6949.5</v>
      </c>
      <c r="I18" s="552">
        <f>232*Головна!$B$131</f>
        <v>7864.799999999999</v>
      </c>
      <c r="J18" s="8"/>
    </row>
    <row r="19" spans="1:10" ht="12.75">
      <c r="A19" s="554"/>
      <c r="C19" s="253" t="s">
        <v>741</v>
      </c>
      <c r="D19" s="253"/>
      <c r="E19" s="253"/>
      <c r="F19" s="253"/>
      <c r="G19" s="552"/>
      <c r="H19" s="552"/>
      <c r="I19" s="552"/>
      <c r="J19" s="254"/>
    </row>
    <row r="20" spans="1:10" ht="12.75">
      <c r="A20" s="554"/>
      <c r="C20" t="s">
        <v>742</v>
      </c>
      <c r="G20" s="552"/>
      <c r="H20" s="552"/>
      <c r="I20" s="552"/>
      <c r="J20" s="8"/>
    </row>
    <row r="21" spans="1:10" ht="12.75">
      <c r="A21" s="554"/>
      <c r="C21" s="253" t="s">
        <v>744</v>
      </c>
      <c r="D21" s="253"/>
      <c r="E21" s="253"/>
      <c r="F21" s="253"/>
      <c r="G21" s="552"/>
      <c r="H21" s="552"/>
      <c r="I21" s="552"/>
      <c r="J21" s="254"/>
    </row>
    <row r="22" spans="1:10" ht="12.75">
      <c r="A22" s="554"/>
      <c r="C22" t="s">
        <v>745</v>
      </c>
      <c r="G22" s="552"/>
      <c r="H22" s="552"/>
      <c r="I22" s="552"/>
      <c r="J22" s="8"/>
    </row>
    <row r="23" spans="1:10" ht="12.75">
      <c r="A23" s="554"/>
      <c r="C23" s="253" t="s">
        <v>1141</v>
      </c>
      <c r="D23" s="253"/>
      <c r="E23" s="253"/>
      <c r="F23" s="253"/>
      <c r="G23" s="552"/>
      <c r="H23" s="552"/>
      <c r="I23" s="552"/>
      <c r="J23" s="254"/>
    </row>
    <row r="24" spans="1:10" ht="12.75">
      <c r="A24" s="554"/>
      <c r="C24" t="s">
        <v>1142</v>
      </c>
      <c r="G24" s="552"/>
      <c r="H24" s="552"/>
      <c r="I24" s="552"/>
      <c r="J24" s="8">
        <f>280*Головна!$B$131</f>
        <v>9492</v>
      </c>
    </row>
    <row r="25" spans="1:10" ht="12.75">
      <c r="A25" s="554"/>
      <c r="C25" s="253" t="s">
        <v>1143</v>
      </c>
      <c r="D25" s="253"/>
      <c r="E25" s="253"/>
      <c r="F25" s="253"/>
      <c r="G25" s="552"/>
      <c r="H25" s="552"/>
      <c r="I25" s="552"/>
      <c r="J25" s="254"/>
    </row>
    <row r="26" spans="1:10" ht="12.75">
      <c r="A26" s="550" t="s">
        <v>748</v>
      </c>
      <c r="C26" t="s">
        <v>1144</v>
      </c>
      <c r="G26" s="553">
        <f>199*Головна!$B$131</f>
        <v>6746.099999999999</v>
      </c>
      <c r="H26" s="553">
        <f>237*Головна!$B$131</f>
        <v>8034.299999999999</v>
      </c>
      <c r="I26" s="553">
        <f>272*Головна!$B$131</f>
        <v>9220.8</v>
      </c>
      <c r="J26" s="8">
        <f>315*Головна!$B$131</f>
        <v>10678.5</v>
      </c>
    </row>
    <row r="27" spans="1:10" ht="12.75">
      <c r="A27" s="550"/>
      <c r="C27" s="253" t="s">
        <v>757</v>
      </c>
      <c r="D27" s="253"/>
      <c r="E27" s="253"/>
      <c r="F27" s="253"/>
      <c r="G27" s="553"/>
      <c r="H27" s="553"/>
      <c r="I27" s="553"/>
      <c r="J27" s="254"/>
    </row>
    <row r="28" spans="1:10" ht="12.75">
      <c r="A28" s="550"/>
      <c r="C28" t="s">
        <v>1145</v>
      </c>
      <c r="G28" s="553"/>
      <c r="H28" s="553"/>
      <c r="I28" s="553"/>
      <c r="J28" s="8"/>
    </row>
    <row r="29" spans="1:10" ht="12.75">
      <c r="A29" s="550"/>
      <c r="C29" s="253" t="s">
        <v>1039</v>
      </c>
      <c r="D29" s="253"/>
      <c r="E29" s="253"/>
      <c r="F29" s="253"/>
      <c r="G29" s="553"/>
      <c r="H29" s="553"/>
      <c r="I29" s="553"/>
      <c r="J29" s="254"/>
    </row>
    <row r="30" spans="1:10" ht="12.75">
      <c r="A30" s="550"/>
      <c r="C30" t="s">
        <v>1146</v>
      </c>
      <c r="G30" s="553"/>
      <c r="H30" s="553"/>
      <c r="I30" s="553"/>
      <c r="J30" s="8"/>
    </row>
    <row r="31" spans="1:10" ht="12.75">
      <c r="A31" s="550"/>
      <c r="C31" s="253" t="s">
        <v>1147</v>
      </c>
      <c r="D31" s="253"/>
      <c r="E31" s="253"/>
      <c r="F31" s="253"/>
      <c r="G31" s="553"/>
      <c r="H31" s="553"/>
      <c r="I31" s="553"/>
      <c r="J31" s="254"/>
    </row>
    <row r="32" spans="1:10" ht="12.75">
      <c r="A32" s="550"/>
      <c r="C32" t="s">
        <v>1040</v>
      </c>
      <c r="G32" s="553"/>
      <c r="H32" s="553"/>
      <c r="I32" s="553"/>
      <c r="J32" s="8"/>
    </row>
    <row r="33" spans="1:10" ht="12.75">
      <c r="A33" s="550"/>
      <c r="C33" s="253" t="s">
        <v>1041</v>
      </c>
      <c r="D33" s="253"/>
      <c r="E33" s="253"/>
      <c r="F33" s="253"/>
      <c r="G33" s="553"/>
      <c r="H33" s="553"/>
      <c r="I33" s="553"/>
      <c r="J33" s="254"/>
    </row>
    <row r="34" spans="1:10" ht="12.75">
      <c r="A34" s="550"/>
      <c r="C34" t="s">
        <v>1148</v>
      </c>
      <c r="G34" s="553"/>
      <c r="H34" s="553"/>
      <c r="I34" s="553"/>
      <c r="J34" s="8"/>
    </row>
    <row r="35" spans="1:10" ht="12.75">
      <c r="A35" s="550"/>
      <c r="C35" s="253" t="s">
        <v>750</v>
      </c>
      <c r="D35" s="253"/>
      <c r="E35" s="253"/>
      <c r="F35" s="253"/>
      <c r="G35" s="553"/>
      <c r="H35" s="553"/>
      <c r="I35" s="553"/>
      <c r="J35" s="254"/>
    </row>
    <row r="36" spans="1:10" ht="12.75">
      <c r="A36" s="550"/>
      <c r="C36" t="s">
        <v>751</v>
      </c>
      <c r="G36" s="553"/>
      <c r="H36" s="553"/>
      <c r="I36" s="553"/>
      <c r="J36" s="8"/>
    </row>
    <row r="37" spans="1:10" ht="12.75">
      <c r="A37" s="550"/>
      <c r="C37" s="253" t="s">
        <v>1149</v>
      </c>
      <c r="D37" s="253"/>
      <c r="E37" s="253"/>
      <c r="F37" s="253"/>
      <c r="G37" s="553"/>
      <c r="H37" s="553"/>
      <c r="I37" s="553"/>
      <c r="J37" s="254"/>
    </row>
    <row r="38" spans="1:10" ht="12.75">
      <c r="A38" s="550"/>
      <c r="C38" t="s">
        <v>752</v>
      </c>
      <c r="G38" s="553"/>
      <c r="H38" s="553"/>
      <c r="I38" s="553"/>
      <c r="J38" s="8">
        <f>315*Головна!$B$131</f>
        <v>10678.5</v>
      </c>
    </row>
    <row r="39" spans="1:10" ht="12.75">
      <c r="A39" s="550"/>
      <c r="C39" s="253" t="s">
        <v>1051</v>
      </c>
      <c r="D39" s="253"/>
      <c r="E39" s="253"/>
      <c r="F39" s="253"/>
      <c r="G39" s="553"/>
      <c r="H39" s="553"/>
      <c r="I39" s="553"/>
      <c r="J39" s="254"/>
    </row>
    <row r="40" spans="1:10" ht="12.75">
      <c r="A40" s="550"/>
      <c r="C40" t="s">
        <v>753</v>
      </c>
      <c r="G40" s="553"/>
      <c r="H40" s="553"/>
      <c r="I40" s="553"/>
      <c r="J40" s="8">
        <f>315*Головна!$B$131</f>
        <v>10678.5</v>
      </c>
    </row>
    <row r="41" spans="1:10" ht="12.75">
      <c r="A41" s="550"/>
      <c r="C41" s="253" t="s">
        <v>1042</v>
      </c>
      <c r="D41" s="253"/>
      <c r="E41" s="253"/>
      <c r="F41" s="253"/>
      <c r="G41" s="553"/>
      <c r="H41" s="553"/>
      <c r="I41" s="553"/>
      <c r="J41" s="254"/>
    </row>
    <row r="42" spans="1:10" ht="12.75">
      <c r="A42" s="550"/>
      <c r="C42" t="s">
        <v>754</v>
      </c>
      <c r="G42" s="553"/>
      <c r="H42" s="553"/>
      <c r="I42" s="553"/>
      <c r="J42" s="8"/>
    </row>
    <row r="43" spans="1:10" ht="12.75">
      <c r="A43" s="554" t="s">
        <v>755</v>
      </c>
      <c r="C43" s="253" t="s">
        <v>1150</v>
      </c>
      <c r="D43" s="253"/>
      <c r="E43" s="253"/>
      <c r="F43" s="253"/>
      <c r="G43" s="552">
        <f>230*Головна!$B$131</f>
        <v>7797</v>
      </c>
      <c r="H43" s="552">
        <f>275*Головна!$B$131</f>
        <v>9322.5</v>
      </c>
      <c r="I43" s="552">
        <f>315*Головна!$B$131</f>
        <v>10678.5</v>
      </c>
      <c r="J43" s="254"/>
    </row>
    <row r="44" spans="1:10" ht="12.75">
      <c r="A44" s="554"/>
      <c r="C44" t="s">
        <v>1151</v>
      </c>
      <c r="G44" s="552"/>
      <c r="H44" s="552"/>
      <c r="I44" s="552"/>
      <c r="J44" s="8"/>
    </row>
    <row r="45" spans="1:10" ht="12.75">
      <c r="A45" s="554"/>
      <c r="C45" s="253" t="s">
        <v>1152</v>
      </c>
      <c r="D45" s="253"/>
      <c r="E45" s="253"/>
      <c r="F45" s="253"/>
      <c r="G45" s="552"/>
      <c r="H45" s="552"/>
      <c r="I45" s="552"/>
      <c r="J45" s="254"/>
    </row>
    <row r="46" spans="1:10" ht="12.75">
      <c r="A46" s="554"/>
      <c r="C46" t="s">
        <v>1153</v>
      </c>
      <c r="G46" s="552"/>
      <c r="H46" s="552"/>
      <c r="I46" s="552"/>
      <c r="J46" s="8"/>
    </row>
    <row r="47" spans="1:10" ht="12.75">
      <c r="A47" s="554"/>
      <c r="C47" s="253" t="s">
        <v>1043</v>
      </c>
      <c r="D47" s="253"/>
      <c r="E47" s="253"/>
      <c r="F47" s="253"/>
      <c r="G47" s="552"/>
      <c r="H47" s="552"/>
      <c r="I47" s="552"/>
      <c r="J47" s="254"/>
    </row>
    <row r="48" spans="1:10" ht="12.75">
      <c r="A48" s="554"/>
      <c r="C48" t="s">
        <v>1154</v>
      </c>
      <c r="G48" s="552"/>
      <c r="H48" s="552"/>
      <c r="I48" s="552"/>
      <c r="J48" s="8"/>
    </row>
    <row r="49" spans="1:10" ht="12.75">
      <c r="A49" s="554"/>
      <c r="C49" s="253" t="s">
        <v>1155</v>
      </c>
      <c r="D49" s="253"/>
      <c r="E49" s="253"/>
      <c r="F49" s="253"/>
      <c r="G49" s="552"/>
      <c r="H49" s="552"/>
      <c r="I49" s="552"/>
      <c r="J49" s="254"/>
    </row>
    <row r="50" spans="1:10" ht="12.75">
      <c r="A50" s="554"/>
      <c r="C50" t="s">
        <v>1156</v>
      </c>
      <c r="G50" s="552"/>
      <c r="H50" s="552"/>
      <c r="I50" s="552"/>
      <c r="J50" s="8"/>
    </row>
    <row r="51" spans="1:10" ht="12.75">
      <c r="A51" s="554"/>
      <c r="C51" s="253" t="s">
        <v>1157</v>
      </c>
      <c r="D51" s="253"/>
      <c r="E51" s="253"/>
      <c r="F51" s="253"/>
      <c r="G51" s="552"/>
      <c r="H51" s="552"/>
      <c r="I51" s="552"/>
      <c r="J51" s="254"/>
    </row>
    <row r="52" spans="1:10" ht="12.75">
      <c r="A52" s="554"/>
      <c r="C52" t="s">
        <v>1044</v>
      </c>
      <c r="G52" s="552"/>
      <c r="H52" s="552"/>
      <c r="I52" s="552"/>
      <c r="J52" s="8"/>
    </row>
    <row r="53" spans="1:10" ht="12.75">
      <c r="A53" s="554"/>
      <c r="C53" s="253" t="s">
        <v>758</v>
      </c>
      <c r="D53" s="253"/>
      <c r="E53" s="253"/>
      <c r="F53" s="253"/>
      <c r="G53" s="552"/>
      <c r="H53" s="552"/>
      <c r="I53" s="552"/>
      <c r="J53" s="254"/>
    </row>
    <row r="54" spans="1:10" ht="12.75">
      <c r="A54" s="554"/>
      <c r="C54" t="s">
        <v>1158</v>
      </c>
      <c r="G54" s="552"/>
      <c r="H54" s="552"/>
      <c r="I54" s="552"/>
      <c r="J54" s="8"/>
    </row>
    <row r="55" spans="1:10" ht="12.75">
      <c r="A55" s="554"/>
      <c r="C55" s="253" t="s">
        <v>1159</v>
      </c>
      <c r="D55" s="253"/>
      <c r="E55" s="253"/>
      <c r="F55" s="253"/>
      <c r="G55" s="552"/>
      <c r="H55" s="552"/>
      <c r="I55" s="552"/>
      <c r="J55" s="254"/>
    </row>
    <row r="56" spans="1:10" ht="12.75">
      <c r="A56" s="554"/>
      <c r="C56" t="s">
        <v>1045</v>
      </c>
      <c r="G56" s="552"/>
      <c r="H56" s="552"/>
      <c r="I56" s="552"/>
      <c r="J56" s="8"/>
    </row>
    <row r="57" spans="1:10" ht="12.75">
      <c r="A57" s="554"/>
      <c r="C57" s="253" t="s">
        <v>1160</v>
      </c>
      <c r="D57" s="253"/>
      <c r="E57" s="253"/>
      <c r="F57" s="253"/>
      <c r="G57" s="552"/>
      <c r="H57" s="552"/>
      <c r="I57" s="552"/>
      <c r="J57" s="254"/>
    </row>
    <row r="58" spans="1:10" ht="12.75">
      <c r="A58" s="554"/>
      <c r="C58" t="s">
        <v>1161</v>
      </c>
      <c r="G58" s="552"/>
      <c r="H58" s="552"/>
      <c r="I58" s="552"/>
      <c r="J58" s="8">
        <f>355*Головна!$B$131</f>
        <v>12034.5</v>
      </c>
    </row>
    <row r="59" spans="1:10" ht="12.75">
      <c r="A59" s="550" t="s">
        <v>760</v>
      </c>
      <c r="C59" s="253" t="s">
        <v>761</v>
      </c>
      <c r="D59" s="253"/>
      <c r="E59" s="253"/>
      <c r="F59" s="253"/>
      <c r="G59" s="553">
        <f>275*Головна!$B$131</f>
        <v>9322.5</v>
      </c>
      <c r="H59" s="553">
        <f>325*Головна!$B$131</f>
        <v>11017.5</v>
      </c>
      <c r="I59" s="553">
        <f>375*Головна!$B$131</f>
        <v>12712.5</v>
      </c>
      <c r="J59" s="254"/>
    </row>
    <row r="60" spans="1:10" ht="12.75">
      <c r="A60" s="550"/>
      <c r="C60" t="s">
        <v>1059</v>
      </c>
      <c r="G60" s="553"/>
      <c r="H60" s="553"/>
      <c r="I60" s="553"/>
      <c r="J60" s="8"/>
    </row>
    <row r="61" spans="1:10" ht="12.75">
      <c r="A61" s="550"/>
      <c r="C61" s="253" t="s">
        <v>1046</v>
      </c>
      <c r="D61" s="253"/>
      <c r="E61" s="253"/>
      <c r="F61" s="253"/>
      <c r="G61" s="553"/>
      <c r="H61" s="553"/>
      <c r="I61" s="553"/>
      <c r="J61" s="254"/>
    </row>
    <row r="62" spans="1:10" ht="12.75">
      <c r="A62" s="550"/>
      <c r="C62" t="s">
        <v>762</v>
      </c>
      <c r="G62" s="553"/>
      <c r="H62" s="553"/>
      <c r="I62" s="553"/>
      <c r="J62" s="8">
        <f>425*Головна!$B$131</f>
        <v>14407.5</v>
      </c>
    </row>
    <row r="63" spans="1:10" ht="12.75">
      <c r="A63" s="550"/>
      <c r="C63" s="253" t="s">
        <v>1162</v>
      </c>
      <c r="D63" s="253"/>
      <c r="E63" s="253"/>
      <c r="F63" s="253"/>
      <c r="G63" s="553"/>
      <c r="H63" s="553"/>
      <c r="I63" s="553"/>
      <c r="J63" s="254"/>
    </row>
    <row r="64" spans="1:10" ht="12.75">
      <c r="A64" s="550"/>
      <c r="C64" t="s">
        <v>1163</v>
      </c>
      <c r="G64" s="553"/>
      <c r="H64" s="553"/>
      <c r="I64" s="553"/>
      <c r="J64" s="8"/>
    </row>
    <row r="65" spans="1:10" ht="12.75">
      <c r="A65" s="550"/>
      <c r="C65" s="253" t="s">
        <v>1047</v>
      </c>
      <c r="D65" s="253"/>
      <c r="E65" s="253"/>
      <c r="F65" s="253"/>
      <c r="G65" s="553"/>
      <c r="H65" s="553"/>
      <c r="I65" s="553"/>
      <c r="J65" s="254"/>
    </row>
    <row r="66" spans="1:10" ht="12.75">
      <c r="A66" s="550"/>
      <c r="C66" t="s">
        <v>1052</v>
      </c>
      <c r="G66" s="553"/>
      <c r="H66" s="553"/>
      <c r="I66" s="553"/>
      <c r="J66" s="8"/>
    </row>
    <row r="67" spans="1:10" ht="12.75">
      <c r="A67" s="550"/>
      <c r="C67" s="253" t="s">
        <v>1048</v>
      </c>
      <c r="D67" s="253"/>
      <c r="E67" s="253"/>
      <c r="F67" s="253"/>
      <c r="G67" s="553"/>
      <c r="H67" s="553"/>
      <c r="I67" s="553"/>
      <c r="J67" s="254"/>
    </row>
    <row r="68" spans="1:10" ht="12.75">
      <c r="A68" s="389"/>
      <c r="B68" s="389"/>
      <c r="C68" s="389"/>
      <c r="D68" s="389"/>
      <c r="E68" s="389"/>
      <c r="F68" s="389"/>
      <c r="G68" s="389"/>
      <c r="H68" s="389"/>
      <c r="I68" s="75"/>
      <c r="J68" s="8"/>
    </row>
    <row r="69" spans="1:10" ht="12.75">
      <c r="A69" s="389" t="s">
        <v>1164</v>
      </c>
      <c r="B69" s="389"/>
      <c r="C69" s="389"/>
      <c r="D69" s="389"/>
      <c r="E69" s="389"/>
      <c r="F69" s="389"/>
      <c r="G69" s="389"/>
      <c r="H69" s="389"/>
      <c r="I69" s="75"/>
      <c r="J69" s="8"/>
    </row>
    <row r="70" spans="1:10" ht="12.75">
      <c r="A70" s="389"/>
      <c r="B70" s="389"/>
      <c r="C70" s="389"/>
      <c r="D70" s="389"/>
      <c r="E70" s="389"/>
      <c r="F70" s="389"/>
      <c r="G70" s="389"/>
      <c r="H70" s="389"/>
      <c r="I70" s="75"/>
      <c r="J70" s="8"/>
    </row>
    <row r="71" ht="12.75">
      <c r="A71" s="142" t="s">
        <v>767</v>
      </c>
    </row>
    <row r="72" ht="12.75"/>
    <row r="73" spans="1:5" ht="12.75">
      <c r="A73" t="s">
        <v>1049</v>
      </c>
      <c r="C73" t="s">
        <v>768</v>
      </c>
      <c r="D73" t="s">
        <v>764</v>
      </c>
      <c r="E73" t="s">
        <v>769</v>
      </c>
    </row>
    <row r="75" ht="12.75" customHeight="1">
      <c r="C75" t="s">
        <v>1050</v>
      </c>
    </row>
    <row r="76" ht="12.75" customHeight="1"/>
    <row r="77" spans="1:8" ht="29.25" customHeight="1">
      <c r="A77" s="549" t="s">
        <v>770</v>
      </c>
      <c r="B77" s="549"/>
      <c r="C77" s="549"/>
      <c r="D77" s="549"/>
      <c r="E77" s="549"/>
      <c r="F77" s="549"/>
      <c r="G77" s="549"/>
      <c r="H77" s="549"/>
    </row>
    <row r="78" spans="1:8" ht="12.75">
      <c r="A78" s="255"/>
      <c r="B78" s="255"/>
      <c r="C78" s="255"/>
      <c r="D78" s="255"/>
      <c r="E78" s="255"/>
      <c r="F78" s="255"/>
      <c r="G78" s="255"/>
      <c r="H78" s="255"/>
    </row>
    <row r="79" spans="1:10" ht="12.75">
      <c r="A79" s="549" t="s">
        <v>771</v>
      </c>
      <c r="B79" s="549"/>
      <c r="C79" s="549"/>
      <c r="D79" s="549"/>
      <c r="E79" s="549"/>
      <c r="F79" s="549"/>
      <c r="G79" s="549"/>
      <c r="H79" s="549"/>
      <c r="I79" s="549"/>
      <c r="J79" s="549"/>
    </row>
  </sheetData>
  <sheetProtection/>
  <mergeCells count="27">
    <mergeCell ref="G59:G67"/>
    <mergeCell ref="H59:H67"/>
    <mergeCell ref="I59:I67"/>
    <mergeCell ref="A26:A42"/>
    <mergeCell ref="G26:G42"/>
    <mergeCell ref="H26:H42"/>
    <mergeCell ref="I26:I42"/>
    <mergeCell ref="A43:A58"/>
    <mergeCell ref="G43:G58"/>
    <mergeCell ref="H43:H58"/>
    <mergeCell ref="G10:G17"/>
    <mergeCell ref="H10:H17"/>
    <mergeCell ref="I10:I17"/>
    <mergeCell ref="A18:A25"/>
    <mergeCell ref="G18:G25"/>
    <mergeCell ref="H18:H25"/>
    <mergeCell ref="I18:I25"/>
    <mergeCell ref="A77:H77"/>
    <mergeCell ref="A79:J79"/>
    <mergeCell ref="A59:A67"/>
    <mergeCell ref="H6:K6"/>
    <mergeCell ref="D8:E8"/>
    <mergeCell ref="C8:C9"/>
    <mergeCell ref="A8:A9"/>
    <mergeCell ref="G8:J8"/>
    <mergeCell ref="I43:I58"/>
    <mergeCell ref="A10:A17"/>
  </mergeCells>
  <printOptions/>
  <pageMargins left="0.58" right="0.44" top="0.53" bottom="0.47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Алина Чумак</cp:lastModifiedBy>
  <cp:lastPrinted>2019-03-10T14:03:46Z</cp:lastPrinted>
  <dcterms:created xsi:type="dcterms:W3CDTF">2017-01-12T14:17:53Z</dcterms:created>
  <dcterms:modified xsi:type="dcterms:W3CDTF">2021-04-28T06:06:39Z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