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2" activeTab="14"/>
  </bookViews>
  <sheets>
    <sheet name="Головна" sheetId="1" r:id="rId1"/>
    <sheet name="Інженерні пластики" sheetId="2" r:id="rId2"/>
    <sheet name="ПТФЕ" sheetId="3" r:id="rId3"/>
    <sheet name="АБС" sheetId="4" r:id="rId4"/>
    <sheet name="ПП" sheetId="5" r:id="rId5"/>
    <sheet name="ПЕ-ВП" sheetId="6" r:id="rId6"/>
    <sheet name="ПП і ПЕ-ВП-стрижні" sheetId="7" r:id="rId7"/>
    <sheet name="ПП і ПЕ-ВП-профілі" sheetId="8" r:id="rId8"/>
    <sheet name="ВМ-ПЕ" sheetId="9" r:id="rId9"/>
    <sheet name="CВМ-ПЕ" sheetId="10" r:id="rId10"/>
    <sheet name="Play-Tec" sheetId="11" r:id="rId11"/>
    <sheet name="ПВХ" sheetId="12" r:id="rId12"/>
    <sheet name="ПВХ-П" sheetId="13" r:id="rId13"/>
    <sheet name="obomodulan" sheetId="14" r:id="rId14"/>
    <sheet name="Контакти" sheetId="15" r:id="rId15"/>
  </sheets>
  <externalReferences>
    <externalReference r:id="rId18"/>
    <externalReference r:id="rId19"/>
  </externalReferences>
  <definedNames>
    <definedName name="__xlnm_Print_Area">'Play-Tec'!$A$1:$J$22</definedName>
    <definedName name="__xlnm_Print_Area_1">'АБС'!$A$1:$K$52</definedName>
    <definedName name="__xlnm_Print_Area_10">#REF!</definedName>
    <definedName name="__xlnm_Print_Area_2" localSheetId="9">'CВМ-ПЕ'!$A$1:$J$111</definedName>
    <definedName name="__xlnm_Print_Area_2">'ВМ-ПЕ'!$A$1:$J$41</definedName>
    <definedName name="__xlnm_Print_Area_3">'Інженерні пластики'!$A$1:$C$144</definedName>
    <definedName name="__xlnm_Print_Area_4">'Контакти'!$A$1:$D$34</definedName>
    <definedName name="__xlnm_Print_Area_5">'ПВХ'!$A$1:$I$70</definedName>
    <definedName name="__xlnm_Print_Area_6" localSheetId="13">'obomodulan'!$A$1:$H$49</definedName>
    <definedName name="__xlnm_Print_Area_6">'ПВХ-П'!$A$1:$H$80</definedName>
    <definedName name="__xlnm_Print_Area_7">'ПП'!$A$1:$J$75</definedName>
    <definedName name="__xlnm_Print_Area_8" localSheetId="6">'ПП і ПЕ-ВП-стрижні'!$A$1:$L$49</definedName>
    <definedName name="__xlnm_Print_Area_8">'ПП і ПЕ-ВП-профілі'!$A$1:$L$37</definedName>
    <definedName name="__xlnm_Print_Area_9">'ПЕ-ВП'!$A$1:$J$37</definedName>
    <definedName name="_xlnm_Print_Area_10">#REF!</definedName>
    <definedName name="_xlnm_Print_Area_3" localSheetId="2">'ПТФЕ'!$A$1:$C$20</definedName>
    <definedName name="_xlnm.Print_Area" localSheetId="9">'CВМ-ПЕ'!$A$1:$J$112</definedName>
    <definedName name="_xlnm.Print_Area" localSheetId="13">'obomodulan'!$A$1:$P$49</definedName>
    <definedName name="_xlnm.Print_Area" localSheetId="10">'Play-Tec'!$A$1:$J$23</definedName>
    <definedName name="_xlnm.Print_Area" localSheetId="3">'АБС'!$A$1:$K$51</definedName>
    <definedName name="_xlnm.Print_Area" localSheetId="8">'ВМ-ПЕ'!$A$1:$J$42</definedName>
    <definedName name="_xlnm.Print_Area" localSheetId="0">'Головна'!$A$1:$D$33</definedName>
    <definedName name="_xlnm.Print_Area" localSheetId="1">'Інженерні пластики'!$A$1:$C$145</definedName>
    <definedName name="_xlnm.Print_Area" localSheetId="14">'Контакти'!$A$1:$D$38</definedName>
    <definedName name="_xlnm.Print_Area" localSheetId="11">'ПВХ'!$A$1:$J$71</definedName>
    <definedName name="_xlnm.Print_Area" localSheetId="12">'ПВХ-П'!$A$1:$H$81</definedName>
    <definedName name="_xlnm.Print_Area" localSheetId="5">'ПЕ-ВП'!$A$1:$J$38</definedName>
    <definedName name="_xlnm.Print_Area" localSheetId="4">'ПП'!$A$1:$J$76</definedName>
    <definedName name="_xlnm.Print_Area" localSheetId="7">'ПП і ПЕ-ВП-профілі'!$A$1:$M$38</definedName>
    <definedName name="_xlnm.Print_Area" localSheetId="6">'ПП і ПЕ-ВП-стрижні'!$A$1:$I$52</definedName>
    <definedName name="_xlnm.Print_Area" localSheetId="2">'ПТФЕ'!$A$1:$C$21</definedName>
  </definedNames>
  <calcPr fullCalcOnLoad="1" refMode="R1C1"/>
</workbook>
</file>

<file path=xl/sharedStrings.xml><?xml version="1.0" encoding="utf-8"?>
<sst xmlns="http://schemas.openxmlformats.org/spreadsheetml/2006/main" count="995" uniqueCount="547">
  <si>
    <t>т.(044) 201 15 40, ф. (044) 201 15 49</t>
  </si>
  <si>
    <t>22 офиса в городах Украины!</t>
  </si>
  <si>
    <t>TM Zellamid® 202</t>
  </si>
  <si>
    <t>TM Zellamid® 250</t>
  </si>
  <si>
    <t>TM Zellamid® 900</t>
  </si>
  <si>
    <t>TM Zellamid® 1400</t>
  </si>
  <si>
    <t>TM Zellamid® 1500</t>
  </si>
  <si>
    <t>TM Zellamid® 1000</t>
  </si>
  <si>
    <t>TM Zellamid® 1900</t>
  </si>
  <si>
    <t>TM Zellamid® 2100</t>
  </si>
  <si>
    <t>АБС</t>
  </si>
  <si>
    <t>TM Quinn®</t>
  </si>
  <si>
    <t>ПММА-АБС</t>
  </si>
  <si>
    <t>TM Senosan®</t>
  </si>
  <si>
    <t>ПП</t>
  </si>
  <si>
    <t>TM Polystone® P</t>
  </si>
  <si>
    <t>TM Polystone® P UV</t>
  </si>
  <si>
    <t>TM Polystone® P Foamlite</t>
  </si>
  <si>
    <t>TM Quattro®</t>
  </si>
  <si>
    <t>ТМ Polystone® G</t>
  </si>
  <si>
    <t>TM Polystone® G</t>
  </si>
  <si>
    <t>ТМ Polystone® D</t>
  </si>
  <si>
    <t>ТМ Polystone® M</t>
  </si>
  <si>
    <t>TM Polystone® Play-Tec</t>
  </si>
  <si>
    <t>TM Trovidur®</t>
  </si>
  <si>
    <t>TM Jedi®</t>
  </si>
  <si>
    <t>TM obomodulan®</t>
  </si>
  <si>
    <r>
      <t>ТМ Zellamid</t>
    </r>
    <r>
      <rPr>
        <b/>
        <vertAlign val="superscript"/>
        <sz val="11"/>
        <color indexed="18"/>
        <rFont val="Arial Cyr"/>
        <family val="2"/>
      </rPr>
      <t>®</t>
    </r>
    <r>
      <rPr>
        <b/>
        <sz val="11"/>
        <color indexed="63"/>
        <rFont val="Arial Cyr"/>
        <family val="2"/>
      </rPr>
      <t xml:space="preserve"> </t>
    </r>
  </si>
  <si>
    <t>Ø 6-12</t>
  </si>
  <si>
    <t>Ø 15-20</t>
  </si>
  <si>
    <t>Ø 20-130</t>
  </si>
  <si>
    <t>Ø 140-200</t>
  </si>
  <si>
    <t>0,2-1,5</t>
  </si>
  <si>
    <t>Zellamid 202 (ПА 6) лист</t>
  </si>
  <si>
    <t>1-6</t>
  </si>
  <si>
    <t>10-60</t>
  </si>
  <si>
    <t>80-100</t>
  </si>
  <si>
    <t>Zellamid 202 (ПА 6) труба</t>
  </si>
  <si>
    <t>до 60</t>
  </si>
  <si>
    <t>Ø 15-125</t>
  </si>
  <si>
    <t>Ø 130-200</t>
  </si>
  <si>
    <t>Zellamid 202 MO (ПА 6 + MoS2) лист</t>
  </si>
  <si>
    <t>8-100</t>
  </si>
  <si>
    <t>Zellamid 202 MO (ПА 6 + MoS2) трубка</t>
  </si>
  <si>
    <t>Ø 6-8</t>
  </si>
  <si>
    <t>Ø 10-18</t>
  </si>
  <si>
    <t>Ø 20-125</t>
  </si>
  <si>
    <t>8-12</t>
  </si>
  <si>
    <t>15-60</t>
  </si>
  <si>
    <t>70-100</t>
  </si>
  <si>
    <t>Ø 15-50</t>
  </si>
  <si>
    <t>Ø 55-200</t>
  </si>
  <si>
    <t>Ø 6-150</t>
  </si>
  <si>
    <t>8-60</t>
  </si>
  <si>
    <t>25 - 310</t>
  </si>
  <si>
    <t>Ø 20-200</t>
  </si>
  <si>
    <t>Ø 210-270</t>
  </si>
  <si>
    <t>Ø 280-300</t>
  </si>
  <si>
    <t>Ø 310-400</t>
  </si>
  <si>
    <t>0,5-1,0</t>
  </si>
  <si>
    <t>110-150</t>
  </si>
  <si>
    <t>нар. Ø 20 - 250</t>
  </si>
  <si>
    <t>Ø 15-200</t>
  </si>
  <si>
    <t>Ø 6-200</t>
  </si>
  <si>
    <t>8-110</t>
  </si>
  <si>
    <t>70-110</t>
  </si>
  <si>
    <t>Ø 160-200</t>
  </si>
  <si>
    <t>20 - 260</t>
  </si>
  <si>
    <t>Ø 15-150</t>
  </si>
  <si>
    <t>Ø 10-125</t>
  </si>
  <si>
    <t>10-125</t>
  </si>
  <si>
    <t>Ø 10-150</t>
  </si>
  <si>
    <t>10-100</t>
  </si>
  <si>
    <t>http://www.plastics.ua/industrial/АБС</t>
  </si>
  <si>
    <t xml:space="preserve">ТМ Senosan </t>
  </si>
  <si>
    <t>http://www.plastics.ua/industrial/ПММА-АБС</t>
  </si>
  <si>
    <t>ПММА/АБС</t>
  </si>
  <si>
    <r>
      <t>ТМ POLYSTONE</t>
    </r>
    <r>
      <rPr>
        <b/>
        <vertAlign val="superscript"/>
        <sz val="22"/>
        <color indexed="18"/>
        <rFont val="Arial Cyr"/>
        <family val="2"/>
      </rPr>
      <t>®</t>
    </r>
    <r>
      <rPr>
        <b/>
        <sz val="22"/>
        <color indexed="18"/>
        <rFont val="Arial Cyr"/>
        <family val="2"/>
      </rPr>
      <t xml:space="preserve"> P</t>
    </r>
  </si>
  <si>
    <t>Ширина, мм</t>
  </si>
  <si>
    <t>`</t>
  </si>
  <si>
    <t>d=3</t>
  </si>
  <si>
    <t>d=4</t>
  </si>
  <si>
    <t>Овал</t>
  </si>
  <si>
    <t>4,4х3,0</t>
  </si>
  <si>
    <t>5,5х4,0</t>
  </si>
  <si>
    <t>7,7х5,3</t>
  </si>
  <si>
    <t>3,0х2,4</t>
  </si>
  <si>
    <t>4,0х2,5</t>
  </si>
  <si>
    <t>5,0х3,2</t>
  </si>
  <si>
    <t>7,0х4,7</t>
  </si>
  <si>
    <r>
      <t>ТМ POLYSTONE</t>
    </r>
    <r>
      <rPr>
        <b/>
        <vertAlign val="superscript"/>
        <sz val="20"/>
        <color indexed="18"/>
        <rFont val="Arial Cyr"/>
        <family val="2"/>
      </rPr>
      <t>®</t>
    </r>
    <r>
      <rPr>
        <b/>
        <sz val="20"/>
        <color indexed="18"/>
        <rFont val="Arial Cyr"/>
        <family val="2"/>
      </rPr>
      <t xml:space="preserve"> G</t>
    </r>
  </si>
  <si>
    <t>Круг</t>
  </si>
  <si>
    <t>d=2</t>
  </si>
  <si>
    <t>d=5</t>
  </si>
  <si>
    <r>
      <t>ТМ POLYSTONE</t>
    </r>
    <r>
      <rPr>
        <b/>
        <vertAlign val="superscript"/>
        <sz val="20"/>
        <color indexed="18"/>
        <rFont val="Arial Cyr"/>
        <family val="2"/>
      </rPr>
      <t>®</t>
    </r>
    <r>
      <rPr>
        <b/>
        <sz val="20"/>
        <color indexed="18"/>
        <rFont val="Arial Cyr"/>
        <family val="2"/>
      </rPr>
      <t xml:space="preserve"> G, POLYSTONE</t>
    </r>
    <r>
      <rPr>
        <b/>
        <vertAlign val="superscript"/>
        <sz val="20"/>
        <color indexed="18"/>
        <rFont val="Arial Cyr"/>
        <family val="2"/>
      </rPr>
      <t>®</t>
    </r>
    <r>
      <rPr>
        <b/>
        <sz val="20"/>
        <color indexed="18"/>
        <rFont val="Arial Cyr"/>
        <family val="2"/>
      </rPr>
      <t xml:space="preserve"> P</t>
    </r>
  </si>
  <si>
    <t>B/мм</t>
  </si>
  <si>
    <t>H/мм</t>
  </si>
  <si>
    <t>S/мм</t>
  </si>
  <si>
    <t>кг/м</t>
  </si>
  <si>
    <t>H03</t>
  </si>
  <si>
    <t>H05</t>
  </si>
  <si>
    <t>H07</t>
  </si>
  <si>
    <t>H11</t>
  </si>
  <si>
    <t>U01</t>
  </si>
  <si>
    <t>U02</t>
  </si>
  <si>
    <t>U04</t>
  </si>
  <si>
    <t>U05</t>
  </si>
  <si>
    <t>U06</t>
  </si>
  <si>
    <t>U07</t>
  </si>
  <si>
    <t>U11</t>
  </si>
  <si>
    <t>U12</t>
  </si>
  <si>
    <t>d, мм</t>
  </si>
  <si>
    <t>s, мм</t>
  </si>
  <si>
    <r>
      <t>ТМ POLYSTONE</t>
    </r>
    <r>
      <rPr>
        <b/>
        <vertAlign val="superscript"/>
        <sz val="20"/>
        <color indexed="18"/>
        <rFont val="Arial Cyr"/>
        <family val="2"/>
      </rPr>
      <t>®</t>
    </r>
    <r>
      <rPr>
        <b/>
        <sz val="20"/>
        <color indexed="18"/>
        <rFont val="Arial Cyr"/>
        <family val="2"/>
      </rPr>
      <t xml:space="preserve"> D </t>
    </r>
  </si>
  <si>
    <r>
      <t>ТМ POLYSTONE</t>
    </r>
    <r>
      <rPr>
        <b/>
        <vertAlign val="superscript"/>
        <sz val="20"/>
        <color indexed="18"/>
        <rFont val="Arial Cyr"/>
        <family val="2"/>
      </rPr>
      <t>®</t>
    </r>
    <r>
      <rPr>
        <b/>
        <sz val="20"/>
        <color indexed="18"/>
        <rFont val="Arial Cyr"/>
        <family val="2"/>
      </rPr>
      <t xml:space="preserve"> М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</si>
  <si>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</si>
  <si>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www.plastics.ua/industrial/Play-Tec®</t>
  </si>
  <si>
    <t>Play-Tec uni</t>
  </si>
  <si>
    <t>Play-Tec multi</t>
  </si>
  <si>
    <r>
      <t>ТМ Trovidur</t>
    </r>
    <r>
      <rPr>
        <b/>
        <vertAlign val="superscript"/>
        <sz val="22"/>
        <color indexed="18"/>
        <rFont val="Arial Cyr"/>
        <family val="2"/>
      </rPr>
      <t>®</t>
    </r>
    <r>
      <rPr>
        <b/>
        <sz val="22"/>
        <color indexed="18"/>
        <rFont val="Arial Cyr"/>
        <family val="2"/>
      </rPr>
      <t xml:space="preserve"> </t>
    </r>
  </si>
  <si>
    <r>
      <t>Trovidur</t>
    </r>
    <r>
      <rPr>
        <vertAlign val="superscript"/>
        <sz val="12"/>
        <rFont val="Arial Cyr"/>
        <family val="2"/>
      </rPr>
      <t>®</t>
    </r>
    <r>
      <rPr>
        <sz val="12"/>
        <rFont val="Arial Cyr"/>
        <family val="2"/>
      </rPr>
      <t xml:space="preserve"> EN
</t>
    </r>
  </si>
  <si>
    <r>
      <t>Trovidur</t>
    </r>
    <r>
      <rPr>
        <vertAlign val="superscript"/>
        <sz val="12"/>
        <rFont val="Arial Cyr"/>
        <family val="2"/>
      </rPr>
      <t>®</t>
    </r>
    <r>
      <rPr>
        <sz val="12"/>
        <rFont val="Arial Cyr"/>
        <family val="2"/>
      </rPr>
      <t xml:space="preserve"> EТ
</t>
    </r>
  </si>
  <si>
    <t>ПВХ-П</t>
  </si>
  <si>
    <t>http://plastics.ua/industrial/ПВХ-П</t>
  </si>
  <si>
    <t>Ширина</t>
  </si>
  <si>
    <r>
      <t>г/см</t>
    </r>
    <r>
      <rPr>
        <b/>
        <vertAlign val="superscript"/>
        <sz val="12"/>
        <rFont val="Arial"/>
        <family val="2"/>
      </rPr>
      <t>3</t>
    </r>
  </si>
  <si>
    <t>мм</t>
  </si>
  <si>
    <t>м</t>
  </si>
  <si>
    <r>
      <t>кг/м</t>
    </r>
    <r>
      <rPr>
        <b/>
        <vertAlign val="superscript"/>
        <sz val="12"/>
        <rFont val="Arial"/>
        <family val="2"/>
      </rPr>
      <t>2</t>
    </r>
  </si>
  <si>
    <r>
      <t>obomodulan</t>
    </r>
    <r>
      <rPr>
        <b/>
        <vertAlign val="superscript"/>
        <sz val="20"/>
        <color indexed="18"/>
        <rFont val="Arial Cyr"/>
        <family val="2"/>
      </rPr>
      <t>®</t>
    </r>
    <r>
      <rPr>
        <b/>
        <sz val="20"/>
        <color indexed="18"/>
        <rFont val="Arial Cyr"/>
        <family val="2"/>
      </rPr>
      <t xml:space="preserve"> </t>
    </r>
  </si>
  <si>
    <t>www.plastics.ua/industrial/Модулан</t>
  </si>
  <si>
    <t>Тип</t>
  </si>
  <si>
    <t>652 HT</t>
  </si>
  <si>
    <t>магма</t>
  </si>
  <si>
    <t>мокка</t>
  </si>
  <si>
    <t>терра</t>
  </si>
  <si>
    <t>сахара</t>
  </si>
  <si>
    <t xml:space="preserve">750x500x50 </t>
  </si>
  <si>
    <t xml:space="preserve">1000x500x50 </t>
  </si>
  <si>
    <t xml:space="preserve">1500x500x50 </t>
  </si>
  <si>
    <t xml:space="preserve">2000x500x50 </t>
  </si>
  <si>
    <t xml:space="preserve">750x500x75 </t>
  </si>
  <si>
    <t xml:space="preserve">1000x500x75 </t>
  </si>
  <si>
    <t xml:space="preserve">1500x500x75 </t>
  </si>
  <si>
    <t xml:space="preserve">2000x500x75 </t>
  </si>
  <si>
    <t xml:space="preserve">750x500x100 </t>
  </si>
  <si>
    <t xml:space="preserve">1000x500x100 </t>
  </si>
  <si>
    <t xml:space="preserve">1500x500x100 </t>
  </si>
  <si>
    <t xml:space="preserve">2000x500x100  </t>
  </si>
  <si>
    <t xml:space="preserve">2000x1000x100 </t>
  </si>
  <si>
    <t xml:space="preserve">1500x500x150 </t>
  </si>
  <si>
    <t xml:space="preserve">2000x500x150 </t>
  </si>
  <si>
    <t xml:space="preserve">2000x1000x150 </t>
  </si>
  <si>
    <t xml:space="preserve">1500x500x200 </t>
  </si>
  <si>
    <t xml:space="preserve">2000x500x200 </t>
  </si>
  <si>
    <t xml:space="preserve">2000x1000x200 </t>
  </si>
  <si>
    <t>Карта</t>
  </si>
  <si>
    <t>Полтава</t>
  </si>
  <si>
    <t>Ужгород</t>
  </si>
  <si>
    <t>Херсон</t>
  </si>
  <si>
    <t>Молдова</t>
  </si>
  <si>
    <t>факс: 0 (44) 201 15 49, 48</t>
  </si>
  <si>
    <t>Житомир</t>
  </si>
  <si>
    <t xml:space="preserve">tel: + / 373-22 / 99 95 15 </t>
  </si>
  <si>
    <t>tel./fax + / 231/81 0 16</t>
  </si>
  <si>
    <t>Комрат</t>
  </si>
  <si>
    <t>tel./fax + / 298/81 0 53</t>
  </si>
  <si>
    <t>оцинков. сталь</t>
  </si>
  <si>
    <t>ЗМІСТ</t>
  </si>
  <si>
    <t>Поліамід 6</t>
  </si>
  <si>
    <t>Поліамід 6.6</t>
  </si>
  <si>
    <t>Поліоксиметилен</t>
  </si>
  <si>
    <t>Поліетилентерефталат</t>
  </si>
  <si>
    <t>Поліефірефіркетон</t>
  </si>
  <si>
    <t>Поліфенілсульфід</t>
  </si>
  <si>
    <t>Поліфенілсульфон</t>
  </si>
  <si>
    <t>ІНЖЕНЕРНІ ПЛАСТИКИ</t>
  </si>
  <si>
    <t>www.plastics.ua/industrial/ІНЖЕНЕРНІ ПЛАСТИКИ</t>
  </si>
  <si>
    <t>АКРИЛОНІТРИЛ-БУТАДІЄН-СТИРОЛ</t>
  </si>
  <si>
    <t>ПОЛІПРОПІЛЕН</t>
  </si>
  <si>
    <t xml:space="preserve">http://www.plastics.ua/industrial/ПОЛІПРОПІЛЕН </t>
  </si>
  <si>
    <t>http://plastics.ua/industrial/ПОЛІПРОПІЛЕН</t>
  </si>
  <si>
    <t>ПОЛІЕТИЛЕН</t>
  </si>
  <si>
    <t>www.plastics.ua/industrial/ПОЛІЕТИЛЕН 300</t>
  </si>
  <si>
    <t>http://plastics.ua/industrial/ПОЛІЕТИЛЕН ВП</t>
  </si>
  <si>
    <t>МАТЕРІАЛ ДЛЯ ДИТЯЧИХ МАЙДАНЧИКІВ</t>
  </si>
  <si>
    <t xml:space="preserve">ПОЛІВІНІЛХЛОРИД </t>
  </si>
  <si>
    <t xml:space="preserve">http://plastics.ua/industrial/ПОЛІВІНІЛХЛОРИД </t>
  </si>
  <si>
    <t>МОДЕЛЬНИЙ ПЛАСТИК</t>
  </si>
  <si>
    <t>Поліефірімід</t>
  </si>
  <si>
    <t>ПП для басейнів</t>
  </si>
  <si>
    <t>Спінений ПП</t>
  </si>
  <si>
    <t>Елементи для стіни</t>
  </si>
  <si>
    <t>Профілі ПП</t>
  </si>
  <si>
    <t>Стрижні ПП</t>
  </si>
  <si>
    <t>Зварювальний дротик ПП</t>
  </si>
  <si>
    <t>http://plastics.ua/industrial/ПЕ-500</t>
  </si>
  <si>
    <t xml:space="preserve">ПЕ-ВМ (ПЕ-500) 
</t>
  </si>
  <si>
    <t>ПЕ-ВМ (ПЕ-500)</t>
  </si>
  <si>
    <t>http://plastics.ua/industrial/ПЕ1000</t>
  </si>
  <si>
    <t xml:space="preserve">ПЕ-CВМ
(ПЕ-1000) 
</t>
  </si>
  <si>
    <t>ПЕ-CВМ
(ПЕ-1000)</t>
  </si>
  <si>
    <t>http://plastics.ua/industrial/products/construction/pe/(ПЕ-1000)</t>
  </si>
  <si>
    <t>ПЕ високої щільності</t>
  </si>
  <si>
    <t>www.plastics.ua/industrial/ПОЛІЕТИЛЕН високої щільності</t>
  </si>
  <si>
    <t>Профілі ПЕ</t>
  </si>
  <si>
    <t>Стрижні ПЕ300</t>
  </si>
  <si>
    <t xml:space="preserve">Стрижні Polystone® P  </t>
  </si>
  <si>
    <t>Стрижні Polystone® G</t>
  </si>
  <si>
    <t>ТМ Polystone® M, Стрижні ПЕ 1000</t>
  </si>
  <si>
    <t>Високомолекулярний ПЕ</t>
  </si>
  <si>
    <t>Надвисокомолекулярний ПЕ</t>
  </si>
  <si>
    <t>Надвисокомолекулярний ПОЛІЕТИЛЕН (ПЕ-1000)</t>
  </si>
  <si>
    <t>Спеціально модифікований ПЕ</t>
  </si>
  <si>
    <t>Твердий ПВХ</t>
  </si>
  <si>
    <t>Пластифікований ПВХ</t>
  </si>
  <si>
    <t>Виробник Zell-Metall, Австрія</t>
  </si>
  <si>
    <t>Дивіться види та характеристики АБС на сайті</t>
  </si>
  <si>
    <t>Дивіться види та характеристики ПММА/АБС на сайті</t>
  </si>
  <si>
    <t>Дивіться види та характеристики ПЕ1000 на сайті</t>
  </si>
  <si>
    <t>Дивіться види та характеристики ПВХ на сайті</t>
  </si>
  <si>
    <t>Дивіться види та характеристики модулана на сайті</t>
  </si>
  <si>
    <t>Матеріал</t>
  </si>
  <si>
    <t>Розміри</t>
  </si>
  <si>
    <t>Розміри, мм</t>
  </si>
  <si>
    <t>Ціна з урахуванням ПДВ, грн/кг</t>
  </si>
  <si>
    <t>на головну</t>
  </si>
  <si>
    <t>Дивіться види та характеристики інженерних пластиків на сайті</t>
  </si>
  <si>
    <t>Екструзійний поліамід 6</t>
  </si>
  <si>
    <t>Zellamid 202 (ПА 6) стрижень</t>
  </si>
  <si>
    <t>Zellamid 202 MO (ПА 6 + MoS2) стрижень</t>
  </si>
  <si>
    <t>Zellamid 202 (ПА 6) плівка</t>
  </si>
  <si>
    <t>Спінений і затверділий ПУ</t>
  </si>
  <si>
    <t>Екструзійний поліамід 6 з дисульфідом молібдену</t>
  </si>
  <si>
    <t>більше як 61</t>
  </si>
  <si>
    <t>нар. більше як Ø 260</t>
  </si>
  <si>
    <t>Zellamid 900 AS (ПОМ-C + антистатик, слонова кістка) стрижень</t>
  </si>
  <si>
    <t>Zellamid 900 AS (ПОМ-C + антистатик, слонова кістка) плита</t>
  </si>
  <si>
    <t>Екструзійний поліамід 6.6  (натурального кольору)</t>
  </si>
  <si>
    <t>натурального кольору</t>
  </si>
  <si>
    <t>зеленого кольору</t>
  </si>
  <si>
    <t>Zellamid 250 (ПА 6.6, натуральний) стрижень</t>
  </si>
  <si>
    <t>Zellamid 250 (ПА 6.6, натуральний) лист</t>
  </si>
  <si>
    <t>Zellamid 250 (ПА 6.6, натуральний) плівка</t>
  </si>
  <si>
    <t>Zellamid 900 (ПОМ-C, натуральний) стрижень</t>
  </si>
  <si>
    <t>Zellamid 900 (ПОМ-C, натуральний) плівка</t>
  </si>
  <si>
    <t>Zellamid 900 (ПОМ-C, натуральний) лист</t>
  </si>
  <si>
    <t>Zellamid 900 (ПОМ-C, натуральний) плита</t>
  </si>
  <si>
    <t>Zellamid 900 (ПОМ-C, натуральний) трубка</t>
  </si>
  <si>
    <t>натуральний</t>
  </si>
  <si>
    <t>договірна</t>
  </si>
  <si>
    <t>Екструзійний поліамід 6.6 (чорного кольору)</t>
  </si>
  <si>
    <t>чорного кольору</t>
  </si>
  <si>
    <t>Zellamid 250 SW (ПА 6.6, чорний) стрижень</t>
  </si>
  <si>
    <t>Zellamid 250 SW (ПА 6.6, чорний) плита</t>
  </si>
  <si>
    <t>Zellamid 250 SW (ПА 6.6, чорний) трубка</t>
  </si>
  <si>
    <t>Zellamid 250 GF30 (ПА 6.6 + 30% GF, чорний) стрижень</t>
  </si>
  <si>
    <t>Zellamid 250 GF30 (ПА 6.6 + 30% GF, чорний) плита</t>
  </si>
  <si>
    <t>Zellamid 900 SW (ПОМ-C, чорний) стрижень</t>
  </si>
  <si>
    <t>Zellamid 900 SW (ПОМ-C, чорний) плівка</t>
  </si>
  <si>
    <t>Zellamid 900 SW (ПОМ-C, чорний) лист</t>
  </si>
  <si>
    <t>Zellamid 900 SW (ПОМ-C, чорний) плита</t>
  </si>
  <si>
    <t>Zellamid 900 SW (ПОМ-C, чорний) трубка</t>
  </si>
  <si>
    <t>Zellamid 900 H SW (ПОМ-Г, чорний) стрижень</t>
  </si>
  <si>
    <t>Zellamid 900 H SW (ПОМ-Г, чорний) лист</t>
  </si>
  <si>
    <t>Zellamid 900 H SW (ПОМ-Г, чорний) плита</t>
  </si>
  <si>
    <t>Zellamid 1400 SW (ПЕТ, чорний) стрижень</t>
  </si>
  <si>
    <t>Zellamid 1400 SW (ПЕТ, чорний) лист</t>
  </si>
  <si>
    <t>чорний</t>
  </si>
  <si>
    <t>Дивитися на сайті</t>
  </si>
  <si>
    <t>Екструзійний поліамід 6.6 зі скловолокном</t>
  </si>
  <si>
    <t>Поліоксиметилен сополімер (натурального кольору)</t>
  </si>
  <si>
    <t>Поліоксиметилен сополімер (чорного кольору)</t>
  </si>
  <si>
    <t>Поліоксиметилен сополімер (антистатик)</t>
  </si>
  <si>
    <t>Поліоксиметилен гомополімер (чорного кольору)</t>
  </si>
  <si>
    <t>Поліоксиметилен сополімер (струмопровідний)</t>
  </si>
  <si>
    <t>Поліоксиметилен гомополімер (білого кольору)</t>
  </si>
  <si>
    <t>Zellamid 900 H (ПОМ-Г, білий) стрижень</t>
  </si>
  <si>
    <t>Zellamid 900 H (ПОМ-Г, білий) лист</t>
  </si>
  <si>
    <t>Zellamid 900 H (ПОМ-Г, білий) плита</t>
  </si>
  <si>
    <t>Zellamid 1400 (ПЕТ, білий) стрижень</t>
  </si>
  <si>
    <t>Zellamid 1400 (ПЕТ, білий) лист</t>
  </si>
  <si>
    <t>Zellamid 1400 (ПЕТ, білий) труба</t>
  </si>
  <si>
    <t>білий</t>
  </si>
  <si>
    <t>Поліетилентерафталат (білого кольору)</t>
  </si>
  <si>
    <t>Поліетилентерафталат (чорного кольору)</t>
  </si>
  <si>
    <t>Zellamid 1500 (ПЕЕК, нат) стрижень</t>
  </si>
  <si>
    <t>Zellamid 1500 (ПЕЕК, нат) лист</t>
  </si>
  <si>
    <t>Zellamid 1500 T (ПЕЕК + тверде мастило, чорний) стрижень</t>
  </si>
  <si>
    <t>Zellamid 1500 T (ПЕЕК + тверде мастило, чорний) лист</t>
  </si>
  <si>
    <t>Екструзійний поліамід 6.6 наповнений твердим мастилом</t>
  </si>
  <si>
    <t>Поліефірефіркетон наповнений твердим мастилом</t>
  </si>
  <si>
    <t>Поліефірефіркетон зі скловолокном</t>
  </si>
  <si>
    <t>Поліефірімід зі скловолокном</t>
  </si>
  <si>
    <t>Поліфенілсульфід зі скловолокном</t>
  </si>
  <si>
    <t>Zellamid 1500 GF30 (ПЕЕК + 30% скловол., сірий) стрижень</t>
  </si>
  <si>
    <t>Zellamid 1500 GF30 (ПЕЕК + 30% скловол., сірий) лист</t>
  </si>
  <si>
    <t>сірий</t>
  </si>
  <si>
    <t xml:space="preserve">сірий 7011
</t>
  </si>
  <si>
    <t>Zellamid 1500 Х (ПЕЕК спеціальний, коричневий) стрижень</t>
  </si>
  <si>
    <t>Zellamid 1500 Х (ПЕЕК спеціальний, коричневий) плита</t>
  </si>
  <si>
    <t>Zellamid 1000 GF30 (ПЕІ + 30% скловол., сірий) стрижень</t>
  </si>
  <si>
    <t>Zellamid 1000 GF30 (ПЕІ + 30% скловол., сірий) лист</t>
  </si>
  <si>
    <t>Zellamid 1000 T (ПЕІ, бурштиновий) стрижень</t>
  </si>
  <si>
    <t>Zellamid 1000 T (ПЕІ, бурштиновий) плита</t>
  </si>
  <si>
    <t>Zellamid 2100 (ПФСУ, бурштиновий) стрижень</t>
  </si>
  <si>
    <t>Zellamid 2100 (ПФСУ, бурштиновий) лист</t>
  </si>
  <si>
    <t>Zellamid 1900 (ПФС, бежевий) стрижень</t>
  </si>
  <si>
    <t>Zellamid 1900 (ПФС, бежевий) лист</t>
  </si>
  <si>
    <t>Zellamid 1900 GF40 (ПФС + 40% скловол., бежевий) стрижень</t>
  </si>
  <si>
    <t>Zellamid 1900 GF40 (ПФС + 40% скловол., бежевий) лист</t>
  </si>
  <si>
    <t>Усі перераховані вище матеріали — це сукупність термопластів із різними наповнювачами (скловолокно, вуглеволокно), модифікаторами й добавками (термо- і світлостабілізатори, антифрикційні агенти, антипірени, пігменти та ін.). Все це дає змогу створити широкий асортимент пропонованих матеріалів.
Основним критерієм вибору саме конструкційних термопластичних матеріалів для виробництва майбутнього виробу є такі фактори:
• зниження маси виробу в разі заміни металу;
• зниження шуму та вібрації;
• простота обробки.</t>
  </si>
  <si>
    <t>Колір</t>
  </si>
  <si>
    <t>Тип поверхні</t>
  </si>
  <si>
    <t>Щільність</t>
  </si>
  <si>
    <t>Товщина, мм</t>
  </si>
  <si>
    <t>Товщина</t>
  </si>
  <si>
    <t>Довжина, мм</t>
  </si>
  <si>
    <t>Довжина 2000 мм</t>
  </si>
  <si>
    <t>Довжина</t>
  </si>
  <si>
    <t>Маса, кг</t>
  </si>
  <si>
    <t>Маса</t>
  </si>
  <si>
    <t>Ціна з урахуванням ПДВ, грн/м2</t>
  </si>
  <si>
    <t>Маса, кг/шт.</t>
  </si>
  <si>
    <t>Ціна з урахуванням ПДВ,
 грн/шт.</t>
  </si>
  <si>
    <t>Виробництво Senoplast, Австрія</t>
  </si>
  <si>
    <t>Санітарна градація</t>
  </si>
  <si>
    <t>Маса, 1 м2,
 кг</t>
  </si>
  <si>
    <t>Маса, 1 м2, кг</t>
  </si>
  <si>
    <t>глянець/гладка</t>
  </si>
  <si>
    <t>УФ-стабілізована градація</t>
  </si>
  <si>
    <t>АБС (акрилонітрил-бутадієн-стирол) належить до сімейства стирольних полімерів і має багато спільних властивостей з полістиролом. АБС-пластик має вищі ударну в'язкість, хімічну стійкість і пластичність, ніж УПС. АБС може бути сплавлений (коекструдований) з іншими матеріалами, такими як ПММА, ПК, ПБТ, ПА і навіть ПВХ. Це створює ще більший вибір властивостей і можливостей для обробки та застосування.</t>
  </si>
  <si>
    <t>(Виробник — RÖCHLING, Німеччина)</t>
  </si>
  <si>
    <t xml:space="preserve"> (Виробник — RÖCHLING, Німеччина)</t>
  </si>
  <si>
    <t>ТМ Play-Tec® 
(Виробник — RÖCHLING, Німеччина)</t>
  </si>
  <si>
    <t>(Виробник — JEDI, Німеччина)</t>
  </si>
  <si>
    <t>(Виробник OBOWERKE, Німеччина)</t>
  </si>
  <si>
    <t>Дивіться види та характеристики поліпропілену на сайті</t>
  </si>
  <si>
    <t>Ціна з урахуванням ПДВ, грн/шт.</t>
  </si>
  <si>
    <t xml:space="preserve">Ціна з урахуванням ПДВ, грн/м2 </t>
  </si>
  <si>
    <t>колір чорний</t>
  </si>
  <si>
    <t>колір сірий</t>
  </si>
  <si>
    <t>на замовлення</t>
  </si>
  <si>
    <t>Екструдовані листи з поліпропілену Polystone® P (PP-c, PP-h)
колір сірий (натуральний, чорний на замовлення)</t>
  </si>
  <si>
    <t xml:space="preserve"> *Надбавка за УФ-стабілізацію + 5%</t>
  </si>
  <si>
    <t>Екструдовані листи ПВХ Trovidur® EN</t>
  </si>
  <si>
    <t>Екструдовані листи ПВХ Trovidur® EТ</t>
  </si>
  <si>
    <t>блакитний</t>
  </si>
  <si>
    <t>Екструдовані листи Polystone® P (PP-c) УФ-стаб. для басейнів
колір блакитний/синій</t>
  </si>
  <si>
    <t>Екструдовані листи Polystone® P (PP-c) УФ-стаб. для басейнів в рулонах
колір блакитний/синій</t>
  </si>
  <si>
    <t>синій</t>
  </si>
  <si>
    <t>Плити зі спіненого поліпропілену Polystone® P Foamlite ECO
колір натуральний, поверхня гладка</t>
  </si>
  <si>
    <t>Плити зі спіненого поліпропілену Polystone® P Foamlite ECO УФ-стаб.
колір зелений, поверхня гладка</t>
  </si>
  <si>
    <t>зелений</t>
  </si>
  <si>
    <t>Колір: натуральний, чорний, зелений</t>
  </si>
  <si>
    <t>Дротик поліпропіленовий для зварювання, PP-c, УФ-стаб.</t>
  </si>
  <si>
    <t>Ціна з урахуванням ПДВ, грн/бухту</t>
  </si>
  <si>
    <t>Розмір, мм</t>
  </si>
  <si>
    <t>Форма поперечного перерізу</t>
  </si>
  <si>
    <t>Polystone® P — це ізотактичний термостабілізований поліпропілен, доступний як гомополімер і сополімер. Матеріал має різноманітне промислове застосування, зокрема в хімічній інженерії, виробництві ємностей, футеруванні гальванічних ванн, медицині, виробництві чистих кімнат та будівництві басейнів.</t>
  </si>
  <si>
    <t>Дивіться види та характеристики поліетилену на сайті</t>
  </si>
  <si>
    <t>Екструдовані листи з поліетилену Polystone® G (PE300)
колір чорний (натуральний на замовлення)</t>
  </si>
  <si>
    <t>Дротик поліетиленовий для зварювання</t>
  </si>
  <si>
    <t>Дротик ПВХ для зварювання</t>
  </si>
  <si>
    <t>Маса бухти, кг</t>
  </si>
  <si>
    <t>Трикутник</t>
  </si>
  <si>
    <t>Polystone® G — це поліетилен високої щільності (низького тиску)/PE300. Легкий в обробці матеріал для виробництва ємностей та апаратів хімічної промисловості. Добре зварюється, має хорошу стійкість до різних хімічних сполук.</t>
  </si>
  <si>
    <t>Поліетилен високої щільності (ПЕ-300)</t>
  </si>
  <si>
    <t>Стрижні з поліпропілену та поліетилену</t>
  </si>
  <si>
    <t>(натурального і сірого кольорів)</t>
  </si>
  <si>
    <t>Діаметр, мм</t>
  </si>
  <si>
    <t>Маса стрижня, кг</t>
  </si>
  <si>
    <t>Ціна</t>
  </si>
  <si>
    <t>Ціна, грн/шт.</t>
  </si>
  <si>
    <t>грн/шт.</t>
  </si>
  <si>
    <t xml:space="preserve"> (натурального і чорного кольорів)</t>
  </si>
  <si>
    <t>Дивіться види та характеристики поліпропілену та поліетилену на сайті</t>
  </si>
  <si>
    <t>Профілі з поліпропілену та поліетилену</t>
  </si>
  <si>
    <t>Код замовлення</t>
  </si>
  <si>
    <t>Поліетилен високої щільності
(PE300)
довжина 5 метрів</t>
  </si>
  <si>
    <t>Поліпропілен
(гомополімер)
довжина 5 метрів</t>
  </si>
  <si>
    <t>Труба Polystone® P для басейнів блакитного кольору</t>
  </si>
  <si>
    <t>РР-сополімер профілі та профілі нестандартних довжини, кольору й габаритних розмірів виготовляються на замовлення.</t>
  </si>
  <si>
    <t>Високомолекулярний поліетилен (ПЕ-500)</t>
  </si>
  <si>
    <t>Дивіться види та характеристики високомолекулярного поліетилену на сайті</t>
  </si>
  <si>
    <t>Екструдовані листи високомолекулярного поліетилену Polystone® D</t>
  </si>
  <si>
    <t>молочний</t>
  </si>
  <si>
    <t xml:space="preserve">Пресовані листи високомолекулярного поліетилену Polystone® D </t>
  </si>
  <si>
    <t>Можливе також постачання листів у форматах: 1250×3000, 2000×4000, 1000×6000, 2000×6000, 2500×6000 мм</t>
  </si>
  <si>
    <t>Polystone® D — це високомолекулярний поліетилен (PE 500), який має хороші механічні властивості, стійкість до подряпин та порізів, а також відмінну кислотну стійкість. Матеріал широко використовується в промисловості, зокрема в харчовій промисловості для обробних дощок і стільниць, на лініях розливу, бутилювання, як захисні панелі, футерування, у медичних технологіях.</t>
  </si>
  <si>
    <t>Дивіться види та характеристики надвисокомолекулярного поліетилену на сайті</t>
  </si>
  <si>
    <t>Стругані листи надвисокомолекулярного поліетилену Polystone® M</t>
  </si>
  <si>
    <t>Можливе також постачання листів у форматах: 1000×2000, 2000×4000, 1000×6000, 2000×6000, 2500×6000 мм</t>
  </si>
  <si>
    <t>Надбавка за чорний і зелений кольори 5%</t>
  </si>
  <si>
    <t>Пресовані листи надвисокомолекулярного поліетилену Polystone® MR</t>
  </si>
  <si>
    <t xml:space="preserve">Пресовані листи надвисокомолекулярного поліетилену Polystone® M </t>
  </si>
  <si>
    <t>Надбавка за зелений колір 5%</t>
  </si>
  <si>
    <t>Стандартна довжина 2000 мм</t>
  </si>
  <si>
    <t>Polystone® M — надвисокомолекулярний поліетилен (PE-UHMW/PE 1000), який використовується для вирішення проблем тертя та зношення в багатьох галузях сучасної промисловості.
Спеціальні властивості:
• низький коефіцієнт поверхневого тертя;
• висока ударна міцність;
• стійкість до впливу хімічно агресивних середовищ і корозії;
• наявність «самозмащувального» ефекту;
• практично цілковита відсутність абсорбції;
• збереження механічних властивостей за температури до –200 °С;
• стійкість до високих динамічних навантажень.
Сфери застосування:
• устаткування для хімічної промисловості;
• конвеєрні системи;
• машинобудування;
• харчова промисловість;
• облицювання;
• підіймально-транспортне обладнання.</t>
  </si>
  <si>
    <t>за запитом</t>
  </si>
  <si>
    <t>Матеріали для дитячих майданчиків</t>
  </si>
  <si>
    <t>Дивіться види та характеристики материалів для дитячих майданчиків на сайті</t>
  </si>
  <si>
    <t>Моноколірні панелі</t>
  </si>
  <si>
    <t>жовтий, червоний, блакитний, сірий, чорний</t>
  </si>
  <si>
    <t>синій/жовтий/синій,
жовтий/червоний/жовтий, жовтий/чорний/жовтий,
зелений/жовтий/зелений, червоний/жовтий/червоний, білий/чорний/білий</t>
  </si>
  <si>
    <t>Коекструдовані панелі</t>
  </si>
  <si>
    <t>прозорий</t>
  </si>
  <si>
    <t>Маса упаковки, кг</t>
  </si>
  <si>
    <t xml:space="preserve">Сімейство Trovidur® — це широке розмаїття продуктів ПВХ для найрізноманітніших сфер застосування. Матеріали сімейства Trovidur® особливо виділяються стабільністю форм і розмірів, чудовою хімічною стійкістю, можливостями термоформування та негорючістю.
Спеціальні властивості:
• нормальна ударна міцність;
• висока стійкість до впливу кислот, лугів і розчинів солей;
• чудові електроізоляційні властивості;
• негорючий, самозгасний;
• чудова здатність до зварювання, термоформування та склеювання.
Сфери застосування:
• устаткування для хімічної промисловості;
• устаткування ємностей;
• виготовлення технологічного обладнання та оснащення;
• електротехніка;
• камери для порошкового фарбування.
</t>
  </si>
  <si>
    <t xml:space="preserve">ПЛАСТИФІКОВАНИЙ ПОЛІВІНІЛХЛОРИД </t>
  </si>
  <si>
    <t>Дивіться види та характеристики ПВХ-завіс на сайті</t>
  </si>
  <si>
    <t>грн/рулон</t>
  </si>
  <si>
    <t>Вартість</t>
  </si>
  <si>
    <t>Стрічка стандарт (–35 ºС)</t>
  </si>
  <si>
    <t>кг/рулон</t>
  </si>
  <si>
    <t>Стрічка стандарт (–35 ºС), 
прозора армована ребриста</t>
  </si>
  <si>
    <t>Стрічка холодостійка (–45 ºС)</t>
  </si>
  <si>
    <t>Лист стандарт (–35 ºС)</t>
  </si>
  <si>
    <t>Колір: блакитно-прозорий, кольоровий матеріал +20% до вартості</t>
  </si>
  <si>
    <t>*Складські позиції виділені напівжирним шрифтом. 1 грн = 1 EUR</t>
  </si>
  <si>
    <t>Комплектація до пластифікованого ПВХ</t>
  </si>
  <si>
    <t>Назва</t>
  </si>
  <si>
    <t>Зовнішній вигляд</t>
  </si>
  <si>
    <t>Ціна з урахуванням ПДВ, грн</t>
  </si>
  <si>
    <t>Карніз гребінка</t>
  </si>
  <si>
    <t>Кріпильна планка</t>
  </si>
  <si>
    <t>товщиною 1–1,9 мм, шириною 1000–2000 мм</t>
  </si>
  <si>
    <t>товщиною 2–12 мм, шириною 400–2200 мм</t>
  </si>
  <si>
    <t xml:space="preserve">Застосовується для виготовлення двопільних дверей і завіс, які запобігають втраті холоду й тепла та забезпечують надійний захист від шуму (редукування рівня шуму на 25–30 дБ), пилу й погодних умов. Ідеально підходить для холодильних і морозильних камер. </t>
  </si>
  <si>
    <t xml:space="preserve">Стрічка стандарт (–35ºС), 
кольорова (жовта, червона напівпрозора й сіра непрозора) </t>
  </si>
  <si>
    <t>МАТЕРІАЛ ДЛЯ МОДЕЛЮВАННЯ</t>
  </si>
  <si>
    <t>світло-сірий</t>
  </si>
  <si>
    <t>рожевий</t>
  </si>
  <si>
    <t>оранжевий</t>
  </si>
  <si>
    <t>теракот</t>
  </si>
  <si>
    <t>бірюза</t>
  </si>
  <si>
    <t>кремовий</t>
  </si>
  <si>
    <t>Інші розміри, склеєні блоки, а також блоки з великими допусками доступні за запитом.</t>
  </si>
  <si>
    <r>
      <t xml:space="preserve">obomodulan® </t>
    </r>
    <r>
      <rPr>
        <sz val="11"/>
        <rFont val="Arial Cyr"/>
        <family val="0"/>
      </rPr>
      <t>— інноваційні матеріали для виробництва форм для термовакуумного формування, ливарного оснащення, прототипування, реклами, архітектури та ін. Матеріали мають високу стійкість до стирання й розмірну точність — властивості, особливо цінні в зазначених сферах застосування.
Сфери застосування:
- дизайн моделі;
- архітектурні моделі;
- робочі моделі;
- моделі для випробувань;
- ливарні моделі;
- копіри;
- шаблони;
- оснащення для ламінування;
- прес-форми;
- штампи.</t>
    </r>
  </si>
  <si>
    <t>Місто</t>
  </si>
  <si>
    <t>Адреса</t>
  </si>
  <si>
    <t>Телефони</t>
  </si>
  <si>
    <t>Київ</t>
  </si>
  <si>
    <t>вул. Межигірська, 82-А, корп. Б</t>
  </si>
  <si>
    <t>0 (44) 201 15 40 — відділ продажів</t>
  </si>
  <si>
    <t>Карта проїзду</t>
  </si>
  <si>
    <t>вул. Молодогвардійська, 7-Б</t>
  </si>
  <si>
    <t>0 (44) 201 15 40</t>
  </si>
  <si>
    <t>Вінниця</t>
  </si>
  <si>
    <t>вул. Пирогова, 131 А</t>
  </si>
  <si>
    <t>0 (432) 57 92 29</t>
  </si>
  <si>
    <t>Дніпро</t>
  </si>
  <si>
    <t>вул. Князя Ярослава Мудрого, 68, оф.217</t>
  </si>
  <si>
    <t>0 (56)797 62 26</t>
  </si>
  <si>
    <t>просп. Незалежності, 79</t>
  </si>
  <si>
    <t>0 (412) 44-62-60</t>
  </si>
  <si>
    <t>Запоріжжя</t>
  </si>
  <si>
    <t>вул. Трегубенко, 2</t>
  </si>
  <si>
    <t>0 (61) 701 32 30</t>
  </si>
  <si>
    <t>Івано-Франківськ</t>
  </si>
  <si>
    <t>вул. Крайківського, 1-Б, оф.104</t>
  </si>
  <si>
    <t>0 (342) 54 25 52</t>
  </si>
  <si>
    <t>Кропивницький</t>
  </si>
  <si>
    <t>вул. Маланюка, 21-А</t>
  </si>
  <si>
    <t>0 (522) 27 29 90</t>
  </si>
  <si>
    <t>Кривий Ріг</t>
  </si>
  <si>
    <t>вул. Соборності, 10</t>
  </si>
  <si>
    <t>0 (564) 43 50 53</t>
  </si>
  <si>
    <t>Луцьк</t>
  </si>
  <si>
    <t>вул. Рівненська, 76-А</t>
  </si>
  <si>
    <t>0 (332) 20 02 16</t>
  </si>
  <si>
    <t>Львів</t>
  </si>
  <si>
    <t>вул. Промислова, 50/52</t>
  </si>
  <si>
    <t>0 (32) 298 44 98</t>
  </si>
  <si>
    <t>Миколаїв</t>
  </si>
  <si>
    <t>вул. Велика Морська, 15/2</t>
  </si>
  <si>
    <t>0 (512) 59 30 25</t>
  </si>
  <si>
    <t>Одеса</t>
  </si>
  <si>
    <t>вул. Комітетська, 14-А, оф.1</t>
  </si>
  <si>
    <t>0 (48) 735 81 81</t>
  </si>
  <si>
    <t>вул. Половка, 70</t>
  </si>
  <si>
    <t>0 (532) 65 24 40</t>
  </si>
  <si>
    <t>Рівне</t>
  </si>
  <si>
    <t>вул. Біла, 83</t>
  </si>
  <si>
    <t>0 (362) 40 03 70</t>
  </si>
  <si>
    <t>вул. Берчені, 86</t>
  </si>
  <si>
    <t>0 (312) 44 10 05</t>
  </si>
  <si>
    <t>Харків</t>
  </si>
  <si>
    <t>просп. Московський, 91</t>
  </si>
  <si>
    <t>0 (57) 750 63 68</t>
  </si>
  <si>
    <t>вул. Нафтовиків, 2-А</t>
  </si>
  <si>
    <t>0 (552) 39 08 30</t>
  </si>
  <si>
    <t>Хмельницький</t>
  </si>
  <si>
    <t>вул. Водопровідна, 42/1</t>
  </si>
  <si>
    <t>0 (382) 70 58 20</t>
  </si>
  <si>
    <t>Черкаси</t>
  </si>
  <si>
    <t>вул. Надпільна, 252</t>
  </si>
  <si>
    <t>0 (472) 38 40 07</t>
  </si>
  <si>
    <t>Чернігів</t>
  </si>
  <si>
    <t>вул. Олександра Молодчого, 3</t>
  </si>
  <si>
    <t>0 (462) 92 20 03</t>
  </si>
  <si>
    <t>Чернівці</t>
  </si>
  <si>
    <t>вул. Гагаріна, 22</t>
  </si>
  <si>
    <t>0 (372) 90 06 09</t>
  </si>
  <si>
    <t>Тернопіль</t>
  </si>
  <si>
    <t xml:space="preserve">вул. Білецька, 1-А </t>
  </si>
  <si>
    <t>0 (352) 42 54 38</t>
  </si>
  <si>
    <t>Кишинів</t>
  </si>
  <si>
    <t>вул. Заводська, 64</t>
  </si>
  <si>
    <t>Бєльці</t>
  </si>
  <si>
    <t>вул. Київська, 116-А</t>
  </si>
  <si>
    <t>вул. Третьякова, 17В</t>
  </si>
  <si>
    <t>Грузія</t>
  </si>
  <si>
    <t>Тбілісі</t>
  </si>
  <si>
    <t>вул. Чантладзе, 3-А</t>
  </si>
  <si>
    <t>+995 (32) 224 20 40 (4007)</t>
  </si>
  <si>
    <t>Батумі</t>
  </si>
  <si>
    <t>вул. Сухумі, 3</t>
  </si>
  <si>
    <t>+995 (32) 224 20 40 (4015)</t>
  </si>
  <si>
    <t>Кутаїсі</t>
  </si>
  <si>
    <t>вул. Гугунава, 20</t>
  </si>
  <si>
    <t>+995 (32) 224 20 40 (4010)</t>
  </si>
  <si>
    <t>тиснення «пісок»/гладка</t>
  </si>
  <si>
    <t>Zellamid 900 XU ELS (ПОМ-C + нанотехнології, чорний) стрижень</t>
  </si>
  <si>
    <t>Zellamid 900 XU ELS (ПОМ-C + нанотехнології, чорний) плита</t>
  </si>
  <si>
    <t>Поліефірефіркетон стійкий до температури та ударів</t>
  </si>
  <si>
    <t>Polystone® Play-Tec — це однорідні кольорові панелі з модифікованого поліетилену. Подряпини на них майже невидимі. Водонепроникні, не набухають і не розшаровуються. Відсутня небезпека скалок. Панелі мають спеціальну УФ-стабілізацію, не вицвітають і не вимагають щорічного фарбування. Завдяки таким характеристикам панелі Polystone® Play-Tec є найкращим вибором для тих застосувань, де раніше використовувалися лаковані або лесовані багатошарові дерев'яні панелі або панелі МДФ.</t>
  </si>
  <si>
    <t>Zellamid 250 ПЕ (ПА 6.6 + ПЕ світло-зелений) стрижень</t>
  </si>
  <si>
    <t>Zellamid 250 ПЕ (ПА 6.6 + ПЕ світло-зелений) плита</t>
  </si>
  <si>
    <t>Листи виготовляються:</t>
  </si>
  <si>
    <t>Фторопласт 4</t>
  </si>
  <si>
    <t>ПТФЕ</t>
  </si>
  <si>
    <t>Материал</t>
  </si>
  <si>
    <t>Экструзионный ПТФЕ, 100% первичный</t>
  </si>
  <si>
    <t>1х1000х10 000</t>
  </si>
  <si>
    <t>1,5-50</t>
  </si>
  <si>
    <t>на главную</t>
  </si>
  <si>
    <t>Виробництво Китай</t>
  </si>
  <si>
    <t xml:space="preserve">Фторопласт 4 – це сучасний конструкційний матеріал, який завдяки своїм особливим експлуатаційним властивостям широко використовується в багатьох галузях промисловості. Висока міцність зв’язку атомів фтору і вуглецю і специфічна структура молекул обумовлюють хороше поєднання хімічних, фізичних, електричних, антифрикційних та інших властивостей, яке неможливо знайти в жодному іншому матеріалі. </t>
  </si>
  <si>
    <t>Фторопласт 4 стрижень довжина (1000 мм)</t>
  </si>
  <si>
    <t>Фторопласт 4 плівка</t>
  </si>
  <si>
    <t>Фторопласт 4 лист ( 1000х1000 мм)</t>
  </si>
  <si>
    <r>
      <t>Маса, 1 м</t>
    </r>
    <r>
      <rPr>
        <b/>
        <vertAlign val="subscript"/>
        <sz val="12"/>
        <rFont val="Arial Cyr"/>
        <family val="0"/>
      </rPr>
      <t>2</t>
    </r>
    <r>
      <rPr>
        <b/>
        <sz val="12"/>
        <rFont val="Arial Cyr"/>
        <family val="2"/>
      </rPr>
      <t>, кг</t>
    </r>
  </si>
  <si>
    <t>сірий 7040</t>
  </si>
  <si>
    <t>Polystone P CubX
колір сірий</t>
  </si>
  <si>
    <t>Екструдовані листи Polystone® PGX (PP-c) УФ-стаб. з антиковзною поверхнею, колір блакитний/синій</t>
  </si>
  <si>
    <t>Всі ціни вказані станом на 05.07.2019 р.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</si>
</sst>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mm/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sz val="10"/>
      <color indexed="9"/>
      <name val="Arial Cyr"/>
      <family val="2"/>
    </font>
    <font>
      <b/>
      <sz val="11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10"/>
      <name val="Arial Cyr"/>
      <family val="2"/>
    </font>
    <font>
      <b/>
      <sz val="9"/>
      <color indexed="10"/>
      <name val="Arial Cyr"/>
      <family val="2"/>
    </font>
    <font>
      <b/>
      <sz val="22"/>
      <color indexed="18"/>
      <name val="Arial Cyr"/>
      <family val="2"/>
    </font>
    <font>
      <b/>
      <vertAlign val="superscript"/>
      <sz val="11"/>
      <color indexed="18"/>
      <name val="Arial Cyr"/>
      <family val="2"/>
    </font>
    <font>
      <b/>
      <sz val="11"/>
      <color indexed="63"/>
      <name val="Arial Cyr"/>
      <family val="2"/>
    </font>
    <font>
      <sz val="11"/>
      <name val="Arial Cyr"/>
      <family val="2"/>
    </font>
    <font>
      <sz val="9"/>
      <color indexed="63"/>
      <name val="Arial Cyr"/>
      <family val="2"/>
    </font>
    <font>
      <b/>
      <sz val="11"/>
      <name val="Arial Cyr"/>
      <family val="2"/>
    </font>
    <font>
      <b/>
      <sz val="12"/>
      <color indexed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color indexed="63"/>
      <name val="Arial Cyr"/>
      <family val="2"/>
    </font>
    <font>
      <b/>
      <sz val="12"/>
      <color indexed="18"/>
      <name val="Arial"/>
      <family val="2"/>
    </font>
    <font>
      <sz val="10"/>
      <color indexed="22"/>
      <name val="Arial Cyr"/>
      <family val="2"/>
    </font>
    <font>
      <b/>
      <sz val="11"/>
      <color indexed="23"/>
      <name val="Arial Cyr"/>
      <family val="2"/>
    </font>
    <font>
      <b/>
      <sz val="10"/>
      <color indexed="63"/>
      <name val="Arial Cyr"/>
      <family val="2"/>
    </font>
    <font>
      <b/>
      <vertAlign val="superscript"/>
      <sz val="22"/>
      <color indexed="18"/>
      <name val="Arial Cyr"/>
      <family val="2"/>
    </font>
    <font>
      <sz val="9"/>
      <color indexed="61"/>
      <name val="Arial"/>
      <family val="2"/>
    </font>
    <font>
      <i/>
      <sz val="10"/>
      <name val="Arial Cyr"/>
      <family val="2"/>
    </font>
    <font>
      <b/>
      <sz val="10"/>
      <color indexed="61"/>
      <name val="Arial Cyr"/>
      <family val="2"/>
    </font>
    <font>
      <sz val="10"/>
      <color indexed="61"/>
      <name val="Arial Cyr"/>
      <family val="2"/>
    </font>
    <font>
      <b/>
      <sz val="20"/>
      <color indexed="18"/>
      <name val="Arial Cyr"/>
      <family val="2"/>
    </font>
    <font>
      <b/>
      <vertAlign val="superscript"/>
      <sz val="20"/>
      <color indexed="18"/>
      <name val="Arial Cyr"/>
      <family val="2"/>
    </font>
    <font>
      <u val="single"/>
      <sz val="12"/>
      <color indexed="12"/>
      <name val="Arial Cyr"/>
      <family val="2"/>
    </font>
    <font>
      <b/>
      <sz val="12"/>
      <color indexed="18"/>
      <name val="Arial Cyr"/>
      <family val="2"/>
    </font>
    <font>
      <b/>
      <sz val="11"/>
      <color indexed="6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 Cyr"/>
      <family val="2"/>
    </font>
    <font>
      <b/>
      <sz val="9"/>
      <color indexed="61"/>
      <name val="Arial Cyr"/>
      <family val="2"/>
    </font>
    <font>
      <b/>
      <sz val="12"/>
      <color indexed="10"/>
      <name val="Arial Cyr"/>
      <family val="2"/>
    </font>
    <font>
      <sz val="12"/>
      <color indexed="9"/>
      <name val="Arial Cyr"/>
      <family val="2"/>
    </font>
    <font>
      <b/>
      <u val="single"/>
      <sz val="10"/>
      <color indexed="12"/>
      <name val="Arial Cyr"/>
      <family val="2"/>
    </font>
    <font>
      <vertAlign val="superscript"/>
      <sz val="12"/>
      <name val="Arial Cyr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11"/>
      <color indexed="18"/>
      <name val="Arial"/>
      <family val="2"/>
    </font>
    <font>
      <sz val="11"/>
      <color indexed="61"/>
      <name val="Arial"/>
      <family val="2"/>
    </font>
    <font>
      <sz val="11"/>
      <color indexed="1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61"/>
      <name val="Arial Cyr"/>
      <family val="2"/>
    </font>
    <font>
      <b/>
      <sz val="10"/>
      <color indexed="9"/>
      <name val="Arial Cyr"/>
      <family val="2"/>
    </font>
    <font>
      <b/>
      <sz val="10"/>
      <color indexed="12"/>
      <name val="Arial Cyr"/>
      <family val="0"/>
    </font>
    <font>
      <u val="single"/>
      <sz val="7.5"/>
      <color indexed="36"/>
      <name val="Arial"/>
      <family val="2"/>
    </font>
    <font>
      <b/>
      <vertAlign val="subscript"/>
      <sz val="12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3" fillId="0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18" fillId="15" borderId="0" applyNumberFormat="0" applyBorder="0" applyAlignment="0" applyProtection="0"/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9" fillId="0" borderId="7" applyNumberFormat="0" applyFill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" fillId="14" borderId="1" applyNumberFormat="0" applyAlignment="0" applyProtection="0"/>
    <xf numFmtId="0" fontId="13" fillId="0" borderId="0">
      <alignment/>
      <protection/>
    </xf>
    <xf numFmtId="0" fontId="6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9" applyNumberFormat="0" applyAlignment="0" applyProtection="0"/>
    <xf numFmtId="0" fontId="0" fillId="4" borderId="9" applyNumberFormat="0" applyAlignment="0" applyProtection="0"/>
    <xf numFmtId="9" fontId="0" fillId="0" borderId="0" applyFont="0" applyFill="0" applyBorder="0" applyAlignment="0" applyProtection="0"/>
    <xf numFmtId="0" fontId="4" fillId="14" borderId="2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5" borderId="0" applyNumberFormat="0" applyBorder="0" applyAlignment="0" applyProtection="0"/>
  </cellStyleXfs>
  <cellXfs count="562">
    <xf numFmtId="0" fontId="0" fillId="0" borderId="0" xfId="0" applyAlignment="1">
      <alignment/>
    </xf>
    <xf numFmtId="0" fontId="13" fillId="0" borderId="0" xfId="51" applyBorder="1">
      <alignment/>
      <protection/>
    </xf>
    <xf numFmtId="0" fontId="13" fillId="0" borderId="0" xfId="51" applyBorder="1" applyAlignment="1">
      <alignment horizontal="center"/>
      <protection/>
    </xf>
    <xf numFmtId="0" fontId="13" fillId="0" borderId="0" xfId="51" applyBorder="1" applyAlignment="1">
      <alignment/>
      <protection/>
    </xf>
    <xf numFmtId="0" fontId="20" fillId="0" borderId="0" xfId="51" applyFont="1" applyBorder="1" applyAlignment="1">
      <alignment/>
      <protection/>
    </xf>
    <xf numFmtId="0" fontId="22" fillId="0" borderId="0" xfId="51" applyFont="1" applyBorder="1" applyAlignment="1">
      <alignment horizontal="center" vertical="center" wrapText="1"/>
      <protection/>
    </xf>
    <xf numFmtId="0" fontId="22" fillId="0" borderId="0" xfId="69" applyNumberFormat="1" applyFont="1" applyFill="1" applyBorder="1" applyAlignment="1" applyProtection="1">
      <alignment vertical="center"/>
      <protection/>
    </xf>
    <xf numFmtId="0" fontId="19" fillId="0" borderId="0" xfId="69" applyFont="1">
      <alignment/>
      <protection/>
    </xf>
    <xf numFmtId="0" fontId="19" fillId="0" borderId="0" xfId="69" applyNumberFormat="1" applyFont="1" applyFill="1" applyBorder="1" applyAlignment="1" applyProtection="1">
      <alignment vertical="center"/>
      <protection/>
    </xf>
    <xf numFmtId="0" fontId="19" fillId="0" borderId="0" xfId="69" applyNumberFormat="1" applyFont="1" applyFill="1" applyBorder="1" applyAlignment="1" applyProtection="1">
      <alignment vertical="center" wrapText="1"/>
      <protection/>
    </xf>
    <xf numFmtId="0" fontId="22" fillId="0" borderId="0" xfId="69" applyNumberFormat="1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>
      <alignment horizontal="left" vertical="center"/>
    </xf>
    <xf numFmtId="0" fontId="13" fillId="0" borderId="0" xfId="51">
      <alignment/>
      <protection/>
    </xf>
    <xf numFmtId="0" fontId="13" fillId="0" borderId="0" xfId="51" applyAlignment="1">
      <alignment horizontal="center"/>
      <protection/>
    </xf>
    <xf numFmtId="0" fontId="13" fillId="0" borderId="0" xfId="51" applyAlignment="1">
      <alignment/>
      <protection/>
    </xf>
    <xf numFmtId="0" fontId="24" fillId="18" borderId="0" xfId="51" applyFont="1" applyFill="1">
      <alignment/>
      <protection/>
    </xf>
    <xf numFmtId="180" fontId="24" fillId="18" borderId="0" xfId="51" applyNumberFormat="1" applyFont="1" applyFill="1">
      <alignment/>
      <protection/>
    </xf>
    <xf numFmtId="0" fontId="13" fillId="18" borderId="0" xfId="51" applyFill="1" applyAlignment="1">
      <alignment horizontal="center"/>
      <protection/>
    </xf>
    <xf numFmtId="0" fontId="25" fillId="0" borderId="10" xfId="51" applyFont="1" applyFill="1" applyBorder="1" applyAlignment="1">
      <alignment horizontal="left" vertical="center" wrapText="1"/>
      <protection/>
    </xf>
    <xf numFmtId="0" fontId="13" fillId="18" borderId="0" xfId="51" applyFont="1" applyFill="1">
      <alignment/>
      <protection/>
    </xf>
    <xf numFmtId="0" fontId="13" fillId="18" borderId="10" xfId="51" applyFill="1" applyBorder="1">
      <alignment/>
      <protection/>
    </xf>
    <xf numFmtId="0" fontId="29" fillId="18" borderId="10" xfId="51" applyFont="1" applyFill="1" applyBorder="1">
      <alignment/>
      <protection/>
    </xf>
    <xf numFmtId="0" fontId="30" fillId="2" borderId="0" xfId="51" applyFont="1" applyFill="1" applyBorder="1" applyAlignment="1">
      <alignment horizontal="center" vertical="center" wrapText="1"/>
      <protection/>
    </xf>
    <xf numFmtId="0" fontId="31" fillId="0" borderId="11" xfId="51" applyFont="1" applyBorder="1" applyAlignment="1">
      <alignment horizontal="center"/>
      <protection/>
    </xf>
    <xf numFmtId="0" fontId="32" fillId="0" borderId="12" xfId="51" applyFont="1" applyBorder="1" applyAlignment="1">
      <alignment wrapText="1"/>
      <protection/>
    </xf>
    <xf numFmtId="49" fontId="32" fillId="0" borderId="12" xfId="51" applyNumberFormat="1" applyFont="1" applyBorder="1">
      <alignment/>
      <protection/>
    </xf>
    <xf numFmtId="2" fontId="32" fillId="0" borderId="12" xfId="51" applyNumberFormat="1" applyFont="1" applyBorder="1" applyAlignment="1">
      <alignment horizontal="center"/>
      <protection/>
    </xf>
    <xf numFmtId="2" fontId="13" fillId="0" borderId="0" xfId="51" applyNumberFormat="1">
      <alignment/>
      <protection/>
    </xf>
    <xf numFmtId="0" fontId="32" fillId="0" borderId="13" xfId="51" applyFont="1" applyBorder="1" applyAlignment="1">
      <alignment wrapText="1"/>
      <protection/>
    </xf>
    <xf numFmtId="49" fontId="32" fillId="0" borderId="13" xfId="51" applyNumberFormat="1" applyFont="1" applyBorder="1">
      <alignment/>
      <protection/>
    </xf>
    <xf numFmtId="2" fontId="32" fillId="0" borderId="13" xfId="51" applyNumberFormat="1" applyFont="1" applyBorder="1" applyAlignment="1">
      <alignment horizontal="center"/>
      <protection/>
    </xf>
    <xf numFmtId="0" fontId="32" fillId="0" borderId="14" xfId="51" applyFont="1" applyBorder="1" applyAlignment="1">
      <alignment wrapText="1"/>
      <protection/>
    </xf>
    <xf numFmtId="49" fontId="32" fillId="0" borderId="14" xfId="51" applyNumberFormat="1" applyFont="1" applyBorder="1">
      <alignment/>
      <protection/>
    </xf>
    <xf numFmtId="2" fontId="32" fillId="0" borderId="14" xfId="51" applyNumberFormat="1" applyFont="1" applyBorder="1" applyAlignment="1">
      <alignment horizontal="center"/>
      <protection/>
    </xf>
    <xf numFmtId="0" fontId="19" fillId="0" borderId="0" xfId="69" applyNumberFormat="1" applyFont="1" applyFill="1" applyBorder="1" applyAlignment="1" applyProtection="1">
      <alignment/>
      <protection/>
    </xf>
    <xf numFmtId="0" fontId="33" fillId="0" borderId="11" xfId="51" applyFont="1" applyBorder="1" applyAlignment="1">
      <alignment horizontal="center"/>
      <protection/>
    </xf>
    <xf numFmtId="0" fontId="33" fillId="0" borderId="15" xfId="51" applyFont="1" applyBorder="1" applyAlignment="1">
      <alignment horizontal="center"/>
      <protection/>
    </xf>
    <xf numFmtId="2" fontId="32" fillId="0" borderId="16" xfId="51" applyNumberFormat="1" applyFont="1" applyBorder="1" applyAlignment="1">
      <alignment horizontal="center"/>
      <protection/>
    </xf>
    <xf numFmtId="0" fontId="33" fillId="0" borderId="15" xfId="51" applyFont="1" applyBorder="1" applyAlignment="1">
      <alignment horizontal="center" wrapText="1"/>
      <protection/>
    </xf>
    <xf numFmtId="0" fontId="33" fillId="0" borderId="15" xfId="51" applyFont="1" applyBorder="1" applyAlignment="1">
      <alignment horizontal="center" vertical="center"/>
      <protection/>
    </xf>
    <xf numFmtId="0" fontId="32" fillId="0" borderId="17" xfId="51" applyFont="1" applyBorder="1" applyAlignment="1">
      <alignment wrapText="1"/>
      <protection/>
    </xf>
    <xf numFmtId="49" fontId="32" fillId="0" borderId="17" xfId="51" applyNumberFormat="1" applyFont="1" applyBorder="1">
      <alignment/>
      <protection/>
    </xf>
    <xf numFmtId="2" fontId="32" fillId="0" borderId="17" xfId="51" applyNumberFormat="1" applyFont="1" applyBorder="1" applyAlignment="1">
      <alignment horizontal="center"/>
      <protection/>
    </xf>
    <xf numFmtId="0" fontId="32" fillId="0" borderId="16" xfId="51" applyFont="1" applyBorder="1" applyAlignment="1">
      <alignment wrapText="1"/>
      <protection/>
    </xf>
    <xf numFmtId="49" fontId="32" fillId="0" borderId="16" xfId="51" applyNumberFormat="1" applyFont="1" applyBorder="1">
      <alignment/>
      <protection/>
    </xf>
    <xf numFmtId="0" fontId="30" fillId="18" borderId="0" xfId="51" applyFont="1" applyFill="1" applyBorder="1" applyAlignment="1">
      <alignment horizontal="left" vertical="top" wrapText="1"/>
      <protection/>
    </xf>
    <xf numFmtId="0" fontId="28" fillId="18" borderId="0" xfId="51" applyFont="1" applyFill="1" applyBorder="1" applyAlignment="1">
      <alignment horizontal="left" vertical="top" wrapText="1"/>
      <protection/>
    </xf>
    <xf numFmtId="0" fontId="28" fillId="18" borderId="0" xfId="51" applyFont="1" applyFill="1" applyBorder="1" applyAlignment="1">
      <alignment horizontal="center" vertical="top" wrapText="1"/>
      <protection/>
    </xf>
    <xf numFmtId="0" fontId="32" fillId="0" borderId="0" xfId="51" applyFont="1">
      <alignment/>
      <protection/>
    </xf>
    <xf numFmtId="0" fontId="32" fillId="18" borderId="0" xfId="51" applyFont="1" applyFill="1" applyBorder="1" applyAlignment="1">
      <alignment horizontal="center" vertical="center" wrapText="1"/>
      <protection/>
    </xf>
    <xf numFmtId="2" fontId="32" fillId="18" borderId="0" xfId="51" applyNumberFormat="1" applyFont="1" applyFill="1" applyBorder="1" applyAlignment="1">
      <alignment horizontal="center" vertical="center" wrapText="1"/>
      <protection/>
    </xf>
    <xf numFmtId="0" fontId="25" fillId="18" borderId="0" xfId="51" applyFont="1" applyFill="1" applyBorder="1" applyAlignment="1">
      <alignment horizontal="left" vertical="center" wrapText="1"/>
      <protection/>
    </xf>
    <xf numFmtId="0" fontId="35" fillId="18" borderId="0" xfId="51" applyFont="1" applyFill="1" applyBorder="1" applyAlignment="1">
      <alignment wrapText="1"/>
      <protection/>
    </xf>
    <xf numFmtId="0" fontId="29" fillId="18" borderId="0" xfId="51" applyFont="1" applyFill="1" applyBorder="1">
      <alignment/>
      <protection/>
    </xf>
    <xf numFmtId="0" fontId="35" fillId="18" borderId="18" xfId="51" applyFont="1" applyFill="1" applyBorder="1" applyAlignment="1">
      <alignment wrapText="1"/>
      <protection/>
    </xf>
    <xf numFmtId="0" fontId="33" fillId="2" borderId="11" xfId="51" applyFont="1" applyFill="1" applyBorder="1" applyAlignment="1">
      <alignment horizontal="center" vertical="center"/>
      <protection/>
    </xf>
    <xf numFmtId="0" fontId="33" fillId="2" borderId="11" xfId="51" applyFont="1" applyFill="1" applyBorder="1" applyAlignment="1">
      <alignment horizontal="center" vertical="center" textRotation="90"/>
      <protection/>
    </xf>
    <xf numFmtId="0" fontId="33" fillId="2" borderId="11" xfId="51" applyFont="1" applyFill="1" applyBorder="1" applyAlignment="1">
      <alignment horizontal="center" vertical="center" textRotation="90" wrapText="1"/>
      <protection/>
    </xf>
    <xf numFmtId="2" fontId="36" fillId="0" borderId="0" xfId="51" applyNumberFormat="1" applyFont="1">
      <alignment/>
      <protection/>
    </xf>
    <xf numFmtId="2" fontId="33" fillId="0" borderId="12" xfId="51" applyNumberFormat="1" applyFont="1" applyBorder="1" applyAlignment="1">
      <alignment horizontal="center" vertical="center" wrapText="1"/>
      <protection/>
    </xf>
    <xf numFmtId="0" fontId="33" fillId="0" borderId="13" xfId="51" applyFont="1" applyBorder="1" applyAlignment="1">
      <alignment horizontal="center" vertical="center" wrapText="1"/>
      <protection/>
    </xf>
    <xf numFmtId="2" fontId="33" fillId="0" borderId="13" xfId="51" applyNumberFormat="1" applyFont="1" applyBorder="1" applyAlignment="1">
      <alignment horizontal="center" vertical="center" wrapText="1"/>
      <protection/>
    </xf>
    <xf numFmtId="0" fontId="32" fillId="0" borderId="13" xfId="51" applyFont="1" applyBorder="1" applyAlignment="1">
      <alignment horizontal="center" vertical="center" wrapText="1"/>
      <protection/>
    </xf>
    <xf numFmtId="2" fontId="32" fillId="0" borderId="13" xfId="51" applyNumberFormat="1" applyFont="1" applyBorder="1" applyAlignment="1">
      <alignment horizontal="center" vertical="center" wrapText="1"/>
      <protection/>
    </xf>
    <xf numFmtId="2" fontId="32" fillId="0" borderId="12" xfId="51" applyNumberFormat="1" applyFont="1" applyBorder="1" applyAlignment="1">
      <alignment horizontal="center" vertical="center" wrapText="1"/>
      <protection/>
    </xf>
    <xf numFmtId="0" fontId="35" fillId="18" borderId="0" xfId="51" applyFont="1" applyFill="1" applyBorder="1" applyAlignment="1">
      <alignment horizontal="center" wrapText="1"/>
      <protection/>
    </xf>
    <xf numFmtId="0" fontId="32" fillId="0" borderId="16" xfId="51" applyFont="1" applyBorder="1" applyAlignment="1">
      <alignment horizontal="center" vertical="center" wrapText="1"/>
      <protection/>
    </xf>
    <xf numFmtId="2" fontId="32" fillId="0" borderId="16" xfId="51" applyNumberFormat="1" applyFont="1" applyBorder="1" applyAlignment="1">
      <alignment horizontal="center" vertical="center" wrapText="1"/>
      <protection/>
    </xf>
    <xf numFmtId="2" fontId="36" fillId="0" borderId="0" xfId="51" applyNumberFormat="1" applyFont="1" applyBorder="1">
      <alignment/>
      <protection/>
    </xf>
    <xf numFmtId="0" fontId="32" fillId="0" borderId="0" xfId="51" applyFont="1" applyBorder="1">
      <alignment/>
      <protection/>
    </xf>
    <xf numFmtId="0" fontId="25" fillId="18" borderId="19" xfId="51" applyFont="1" applyFill="1" applyBorder="1" applyAlignment="1">
      <alignment horizontal="left" wrapText="1"/>
      <protection/>
    </xf>
    <xf numFmtId="0" fontId="25" fillId="18" borderId="0" xfId="51" applyFont="1" applyFill="1" applyBorder="1" applyAlignment="1">
      <alignment horizontal="left" wrapText="1"/>
      <protection/>
    </xf>
    <xf numFmtId="0" fontId="35" fillId="18" borderId="20" xfId="51" applyFont="1" applyFill="1" applyBorder="1" applyAlignment="1">
      <alignment wrapText="1"/>
      <protection/>
    </xf>
    <xf numFmtId="0" fontId="32" fillId="0" borderId="17" xfId="51" applyFont="1" applyBorder="1" applyAlignment="1">
      <alignment horizontal="center" vertical="center" wrapText="1"/>
      <protection/>
    </xf>
    <xf numFmtId="2" fontId="32" fillId="0" borderId="17" xfId="51" applyNumberFormat="1" applyFont="1" applyBorder="1" applyAlignment="1">
      <alignment horizontal="center" vertical="center" wrapText="1"/>
      <protection/>
    </xf>
    <xf numFmtId="0" fontId="33" fillId="14" borderId="11" xfId="51" applyFont="1" applyFill="1" applyBorder="1" applyAlignment="1">
      <alignment horizontal="center" vertical="center" wrapText="1"/>
      <protection/>
    </xf>
    <xf numFmtId="0" fontId="32" fillId="0" borderId="12" xfId="51" applyFont="1" applyBorder="1" applyAlignment="1">
      <alignment horizontal="center"/>
      <protection/>
    </xf>
    <xf numFmtId="2" fontId="33" fillId="0" borderId="13" xfId="51" applyNumberFormat="1" applyFont="1" applyBorder="1" applyAlignment="1">
      <alignment horizontal="center"/>
      <protection/>
    </xf>
    <xf numFmtId="0" fontId="33" fillId="0" borderId="13" xfId="51" applyFont="1" applyBorder="1" applyAlignment="1">
      <alignment horizontal="center"/>
      <protection/>
    </xf>
    <xf numFmtId="0" fontId="13" fillId="0" borderId="0" xfId="51" applyAlignment="1">
      <alignment horizontal="center" vertical="center"/>
      <protection/>
    </xf>
    <xf numFmtId="0" fontId="32" fillId="0" borderId="13" xfId="51" applyFont="1" applyBorder="1" applyAlignment="1">
      <alignment horizontal="center"/>
      <protection/>
    </xf>
    <xf numFmtId="0" fontId="13" fillId="0" borderId="0" xfId="51" applyFont="1">
      <alignment/>
      <protection/>
    </xf>
    <xf numFmtId="0" fontId="32" fillId="0" borderId="16" xfId="51" applyFont="1" applyBorder="1" applyAlignment="1">
      <alignment horizontal="center"/>
      <protection/>
    </xf>
    <xf numFmtId="0" fontId="32" fillId="0" borderId="17" xfId="51" applyFont="1" applyBorder="1" applyAlignment="1">
      <alignment horizontal="center"/>
      <protection/>
    </xf>
    <xf numFmtId="2" fontId="32" fillId="0" borderId="13" xfId="51" applyNumberFormat="1" applyFont="1" applyFill="1" applyBorder="1" applyAlignment="1">
      <alignment horizontal="center"/>
      <protection/>
    </xf>
    <xf numFmtId="0" fontId="32" fillId="0" borderId="13" xfId="51" applyFont="1" applyFill="1" applyBorder="1" applyAlignment="1">
      <alignment horizontal="center"/>
      <protection/>
    </xf>
    <xf numFmtId="2" fontId="33" fillId="0" borderId="12" xfId="51" applyNumberFormat="1" applyFont="1" applyBorder="1" applyAlignment="1">
      <alignment horizontal="center"/>
      <protection/>
    </xf>
    <xf numFmtId="2" fontId="32" fillId="0" borderId="14" xfId="51" applyNumberFormat="1" applyFont="1" applyFill="1" applyBorder="1" applyAlignment="1">
      <alignment horizontal="center"/>
      <protection/>
    </xf>
    <xf numFmtId="2" fontId="32" fillId="0" borderId="16" xfId="51" applyNumberFormat="1" applyFont="1" applyFill="1" applyBorder="1" applyAlignment="1">
      <alignment horizontal="center"/>
      <protection/>
    </xf>
    <xf numFmtId="0" fontId="32" fillId="0" borderId="16" xfId="51" applyFont="1" applyFill="1" applyBorder="1" applyAlignment="1">
      <alignment horizontal="center"/>
      <protection/>
    </xf>
    <xf numFmtId="2" fontId="33" fillId="0" borderId="17" xfId="51" applyNumberFormat="1" applyFont="1" applyBorder="1" applyAlignment="1">
      <alignment horizontal="center"/>
      <protection/>
    </xf>
    <xf numFmtId="0" fontId="33" fillId="0" borderId="13" xfId="51" applyFont="1" applyFill="1" applyBorder="1" applyAlignment="1">
      <alignment horizontal="center"/>
      <protection/>
    </xf>
    <xf numFmtId="2" fontId="33" fillId="0" borderId="13" xfId="51" applyNumberFormat="1" applyFont="1" applyFill="1" applyBorder="1" applyAlignment="1">
      <alignment horizontal="center"/>
      <protection/>
    </xf>
    <xf numFmtId="0" fontId="33" fillId="18" borderId="0" xfId="51" applyFont="1" applyFill="1" applyBorder="1" applyAlignment="1">
      <alignment horizontal="center"/>
      <protection/>
    </xf>
    <xf numFmtId="0" fontId="13" fillId="18" borderId="0" xfId="51" applyFill="1" applyBorder="1" applyAlignment="1">
      <alignment/>
      <protection/>
    </xf>
    <xf numFmtId="2" fontId="33" fillId="18" borderId="0" xfId="51" applyNumberFormat="1" applyFont="1" applyFill="1" applyBorder="1" applyAlignment="1">
      <alignment horizontal="center"/>
      <protection/>
    </xf>
    <xf numFmtId="0" fontId="33" fillId="14" borderId="21" xfId="51" applyFont="1" applyFill="1" applyBorder="1" applyAlignment="1">
      <alignment horizontal="center" vertical="center" wrapText="1"/>
      <protection/>
    </xf>
    <xf numFmtId="2" fontId="33" fillId="0" borderId="14" xfId="51" applyNumberFormat="1" applyFont="1" applyBorder="1" applyAlignment="1">
      <alignment horizontal="center"/>
      <protection/>
    </xf>
    <xf numFmtId="2" fontId="33" fillId="0" borderId="16" xfId="51" applyNumberFormat="1" applyFont="1" applyBorder="1" applyAlignment="1">
      <alignment horizontal="center"/>
      <protection/>
    </xf>
    <xf numFmtId="0" fontId="13" fillId="18" borderId="0" xfId="51" applyFont="1" applyFill="1" applyBorder="1" applyAlignment="1">
      <alignment horizontal="center" vertical="center"/>
      <protection/>
    </xf>
    <xf numFmtId="0" fontId="32" fillId="18" borderId="0" xfId="51" applyFont="1" applyFill="1" applyBorder="1" applyAlignment="1">
      <alignment horizontal="center" wrapText="1"/>
      <protection/>
    </xf>
    <xf numFmtId="0" fontId="13" fillId="18" borderId="0" xfId="51" applyFont="1" applyFill="1" applyBorder="1" applyAlignment="1">
      <alignment horizontal="center" wrapText="1"/>
      <protection/>
    </xf>
    <xf numFmtId="2" fontId="32" fillId="18" borderId="0" xfId="51" applyNumberFormat="1" applyFont="1" applyFill="1" applyBorder="1" applyAlignment="1">
      <alignment horizontal="center"/>
      <protection/>
    </xf>
    <xf numFmtId="0" fontId="42" fillId="0" borderId="0" xfId="51" applyFont="1" applyBorder="1" applyAlignment="1">
      <alignment horizontal="left" vertical="top" wrapText="1"/>
      <protection/>
    </xf>
    <xf numFmtId="0" fontId="44" fillId="18" borderId="0" xfId="51" applyFont="1" applyFill="1" applyBorder="1" applyAlignment="1">
      <alignment horizontal="left" vertical="center" wrapText="1"/>
      <protection/>
    </xf>
    <xf numFmtId="0" fontId="13" fillId="18" borderId="0" xfId="51" applyFill="1">
      <alignment/>
      <protection/>
    </xf>
    <xf numFmtId="2" fontId="36" fillId="18" borderId="0" xfId="51" applyNumberFormat="1" applyFont="1" applyFill="1">
      <alignment/>
      <protection/>
    </xf>
    <xf numFmtId="0" fontId="32" fillId="18" borderId="0" xfId="51" applyFont="1" applyFill="1" applyBorder="1" applyAlignment="1">
      <alignment horizontal="center" vertical="center"/>
      <protection/>
    </xf>
    <xf numFmtId="0" fontId="13" fillId="18" borderId="0" xfId="51" applyFill="1" applyBorder="1" applyAlignment="1">
      <alignment horizontal="center" vertical="center"/>
      <protection/>
    </xf>
    <xf numFmtId="0" fontId="32" fillId="18" borderId="0" xfId="51" applyFont="1" applyFill="1" applyBorder="1" applyAlignment="1">
      <alignment horizontal="center"/>
      <protection/>
    </xf>
    <xf numFmtId="0" fontId="46" fillId="18" borderId="0" xfId="69" applyNumberFormat="1" applyFont="1" applyFill="1" applyBorder="1" applyAlignment="1" applyProtection="1">
      <alignment/>
      <protection/>
    </xf>
    <xf numFmtId="0" fontId="32" fillId="0" borderId="0" xfId="51" applyFont="1" applyAlignment="1">
      <alignment/>
      <protection/>
    </xf>
    <xf numFmtId="0" fontId="47" fillId="18" borderId="0" xfId="51" applyFont="1" applyFill="1" applyBorder="1" applyAlignment="1">
      <alignment horizontal="center" vertical="center" wrapText="1"/>
      <protection/>
    </xf>
    <xf numFmtId="0" fontId="25" fillId="18" borderId="0" xfId="51" applyFont="1" applyFill="1" applyBorder="1" applyAlignment="1">
      <alignment vertical="center" wrapText="1"/>
      <protection/>
    </xf>
    <xf numFmtId="0" fontId="19" fillId="18" borderId="0" xfId="69" applyNumberFormat="1" applyFont="1" applyFill="1" applyBorder="1" applyAlignment="1" applyProtection="1">
      <alignment wrapText="1"/>
      <protection/>
    </xf>
    <xf numFmtId="4" fontId="32" fillId="0" borderId="13" xfId="51" applyNumberFormat="1" applyFont="1" applyBorder="1" applyAlignment="1">
      <alignment horizontal="center"/>
      <protection/>
    </xf>
    <xf numFmtId="0" fontId="32" fillId="18" borderId="0" xfId="51" applyFont="1" applyFill="1">
      <alignment/>
      <protection/>
    </xf>
    <xf numFmtId="4" fontId="32" fillId="0" borderId="16" xfId="51" applyNumberFormat="1" applyFont="1" applyBorder="1" applyAlignment="1">
      <alignment horizontal="center"/>
      <protection/>
    </xf>
    <xf numFmtId="0" fontId="32" fillId="0" borderId="22" xfId="51" applyFont="1" applyBorder="1" applyAlignment="1">
      <alignment horizontal="center"/>
      <protection/>
    </xf>
    <xf numFmtId="4" fontId="32" fillId="0" borderId="22" xfId="51" applyNumberFormat="1" applyFont="1" applyBorder="1" applyAlignment="1">
      <alignment horizontal="center"/>
      <protection/>
    </xf>
    <xf numFmtId="0" fontId="19" fillId="18" borderId="0" xfId="69" applyNumberFormat="1" applyFont="1" applyFill="1" applyBorder="1" applyAlignment="1" applyProtection="1">
      <alignment/>
      <protection/>
    </xf>
    <xf numFmtId="0" fontId="32" fillId="14" borderId="11" xfId="51" applyFont="1" applyFill="1" applyBorder="1" applyAlignment="1">
      <alignment horizontal="center" vertical="center" wrapText="1"/>
      <protection/>
    </xf>
    <xf numFmtId="0" fontId="32" fillId="14" borderId="22" xfId="51" applyFont="1" applyFill="1" applyBorder="1" applyAlignment="1">
      <alignment horizontal="center" vertical="center" wrapText="1"/>
      <protection/>
    </xf>
    <xf numFmtId="0" fontId="32" fillId="14" borderId="23" xfId="51" applyFont="1" applyFill="1" applyBorder="1" applyAlignment="1">
      <alignment horizontal="center" vertical="center" wrapText="1"/>
      <protection/>
    </xf>
    <xf numFmtId="0" fontId="32" fillId="14" borderId="24" xfId="51" applyFont="1" applyFill="1" applyBorder="1" applyAlignment="1">
      <alignment horizontal="center" vertical="center" wrapText="1"/>
      <protection/>
    </xf>
    <xf numFmtId="0" fontId="32" fillId="0" borderId="12" xfId="51" applyFont="1" applyBorder="1" applyAlignment="1">
      <alignment horizontal="center" vertical="center" wrapText="1"/>
      <protection/>
    </xf>
    <xf numFmtId="180" fontId="32" fillId="0" borderId="25" xfId="51" applyNumberFormat="1" applyFont="1" applyBorder="1" applyAlignment="1">
      <alignment horizontal="center" vertical="center" wrapText="1"/>
      <protection/>
    </xf>
    <xf numFmtId="2" fontId="32" fillId="0" borderId="25" xfId="51" applyNumberFormat="1" applyFont="1" applyBorder="1" applyAlignment="1">
      <alignment horizontal="center" vertical="center" wrapText="1"/>
      <protection/>
    </xf>
    <xf numFmtId="180" fontId="32" fillId="0" borderId="26" xfId="51" applyNumberFormat="1" applyFont="1" applyBorder="1" applyAlignment="1">
      <alignment horizontal="center" vertical="center" wrapText="1"/>
      <protection/>
    </xf>
    <xf numFmtId="2" fontId="32" fillId="0" borderId="26" xfId="51" applyNumberFormat="1" applyFont="1" applyBorder="1" applyAlignment="1">
      <alignment horizontal="center" vertical="center" wrapText="1"/>
      <protection/>
    </xf>
    <xf numFmtId="0" fontId="32" fillId="0" borderId="27" xfId="51" applyFont="1" applyBorder="1" applyAlignment="1">
      <alignment horizontal="center" vertical="center" wrapText="1"/>
      <protection/>
    </xf>
    <xf numFmtId="180" fontId="32" fillId="0" borderId="27" xfId="51" applyNumberFormat="1" applyFont="1" applyBorder="1" applyAlignment="1">
      <alignment horizontal="center" vertical="center" wrapText="1"/>
      <protection/>
    </xf>
    <xf numFmtId="2" fontId="32" fillId="0" borderId="27" xfId="51" applyNumberFormat="1" applyFont="1" applyBorder="1" applyAlignment="1">
      <alignment horizontal="center" vertical="center" wrapText="1"/>
      <protection/>
    </xf>
    <xf numFmtId="180" fontId="32" fillId="0" borderId="17" xfId="51" applyNumberFormat="1" applyFont="1" applyBorder="1" applyAlignment="1">
      <alignment horizontal="center" vertical="center" wrapText="1"/>
      <protection/>
    </xf>
    <xf numFmtId="2" fontId="32" fillId="0" borderId="28" xfId="51" applyNumberFormat="1" applyFont="1" applyBorder="1" applyAlignment="1">
      <alignment horizontal="center" vertical="center" wrapText="1"/>
      <protection/>
    </xf>
    <xf numFmtId="2" fontId="33" fillId="0" borderId="17" xfId="51" applyNumberFormat="1" applyFont="1" applyBorder="1" applyAlignment="1">
      <alignment horizontal="center" vertical="center" wrapText="1"/>
      <protection/>
    </xf>
    <xf numFmtId="180" fontId="32" fillId="0" borderId="13" xfId="51" applyNumberFormat="1" applyFont="1" applyBorder="1" applyAlignment="1">
      <alignment horizontal="center" vertical="center" wrapText="1"/>
      <protection/>
    </xf>
    <xf numFmtId="180" fontId="32" fillId="0" borderId="16" xfId="51" applyNumberFormat="1" applyFont="1" applyBorder="1" applyAlignment="1">
      <alignment horizontal="center" vertical="center" wrapText="1"/>
      <protection/>
    </xf>
    <xf numFmtId="0" fontId="50" fillId="0" borderId="17" xfId="51" applyFont="1" applyBorder="1" applyAlignment="1">
      <alignment horizontal="center"/>
      <protection/>
    </xf>
    <xf numFmtId="0" fontId="50" fillId="0" borderId="16" xfId="51" applyFont="1" applyBorder="1" applyAlignment="1">
      <alignment horizontal="center"/>
      <protection/>
    </xf>
    <xf numFmtId="0" fontId="25" fillId="18" borderId="0" xfId="51" applyFont="1" applyFill="1" applyBorder="1" applyAlignment="1">
      <alignment horizontal="center" vertical="center" wrapText="1"/>
      <protection/>
    </xf>
    <xf numFmtId="0" fontId="33" fillId="14" borderId="11" xfId="51" applyFont="1" applyFill="1" applyBorder="1" applyAlignment="1">
      <alignment horizontal="center" vertical="center"/>
      <protection/>
    </xf>
    <xf numFmtId="0" fontId="33" fillId="14" borderId="11" xfId="51" applyFont="1" applyFill="1" applyBorder="1" applyAlignment="1">
      <alignment horizontal="center" vertical="center" textRotation="90"/>
      <protection/>
    </xf>
    <xf numFmtId="0" fontId="33" fillId="14" borderId="11" xfId="51" applyFont="1" applyFill="1" applyBorder="1" applyAlignment="1">
      <alignment horizontal="center" vertical="center" textRotation="90" wrapText="1"/>
      <protection/>
    </xf>
    <xf numFmtId="2" fontId="32" fillId="0" borderId="17" xfId="51" applyNumberFormat="1" applyFont="1" applyBorder="1">
      <alignment/>
      <protection/>
    </xf>
    <xf numFmtId="0" fontId="32" fillId="0" borderId="17" xfId="51" applyFont="1" applyBorder="1" applyAlignment="1">
      <alignment/>
      <protection/>
    </xf>
    <xf numFmtId="0" fontId="32" fillId="0" borderId="17" xfId="51" applyFont="1" applyBorder="1" applyAlignment="1">
      <alignment horizontal="center" vertical="center"/>
      <protection/>
    </xf>
    <xf numFmtId="2" fontId="32" fillId="0" borderId="17" xfId="51" applyNumberFormat="1" applyFont="1" applyBorder="1" applyAlignment="1">
      <alignment horizontal="center" vertical="center"/>
      <protection/>
    </xf>
    <xf numFmtId="2" fontId="32" fillId="0" borderId="12" xfId="51" applyNumberFormat="1" applyFont="1" applyBorder="1" applyAlignment="1">
      <alignment horizontal="center" vertical="center"/>
      <protection/>
    </xf>
    <xf numFmtId="2" fontId="32" fillId="0" borderId="12" xfId="51" applyNumberFormat="1" applyFont="1" applyBorder="1">
      <alignment/>
      <protection/>
    </xf>
    <xf numFmtId="2" fontId="32" fillId="0" borderId="13" xfId="51" applyNumberFormat="1" applyFont="1" applyBorder="1" applyAlignment="1">
      <alignment horizontal="right"/>
      <protection/>
    </xf>
    <xf numFmtId="2" fontId="32" fillId="0" borderId="13" xfId="51" applyNumberFormat="1" applyFont="1" applyBorder="1">
      <alignment/>
      <protection/>
    </xf>
    <xf numFmtId="0" fontId="32" fillId="0" borderId="13" xfId="51" applyFont="1" applyBorder="1">
      <alignment/>
      <protection/>
    </xf>
    <xf numFmtId="0" fontId="32" fillId="0" borderId="13" xfId="51" applyFont="1" applyBorder="1" applyAlignment="1">
      <alignment horizontal="center" vertical="center"/>
      <protection/>
    </xf>
    <xf numFmtId="2" fontId="32" fillId="0" borderId="13" xfId="51" applyNumberFormat="1" applyFont="1" applyBorder="1" applyAlignment="1">
      <alignment horizontal="center" vertical="center"/>
      <protection/>
    </xf>
    <xf numFmtId="2" fontId="33" fillId="0" borderId="13" xfId="51" applyNumberFormat="1" applyFont="1" applyBorder="1">
      <alignment/>
      <protection/>
    </xf>
    <xf numFmtId="0" fontId="33" fillId="0" borderId="13" xfId="51" applyFont="1" applyBorder="1">
      <alignment/>
      <protection/>
    </xf>
    <xf numFmtId="0" fontId="33" fillId="0" borderId="13" xfId="51" applyFont="1" applyBorder="1" applyAlignment="1">
      <alignment horizontal="center" vertical="center"/>
      <protection/>
    </xf>
    <xf numFmtId="2" fontId="33" fillId="0" borderId="13" xfId="51" applyNumberFormat="1" applyFont="1" applyBorder="1" applyAlignment="1">
      <alignment horizontal="center" vertical="center"/>
      <protection/>
    </xf>
    <xf numFmtId="2" fontId="33" fillId="0" borderId="13" xfId="51" applyNumberFormat="1" applyFont="1" applyBorder="1" applyAlignment="1">
      <alignment horizontal="right"/>
      <protection/>
    </xf>
    <xf numFmtId="2" fontId="32" fillId="0" borderId="14" xfId="51" applyNumberFormat="1" applyFont="1" applyBorder="1">
      <alignment/>
      <protection/>
    </xf>
    <xf numFmtId="0" fontId="32" fillId="0" borderId="14" xfId="51" applyFont="1" applyBorder="1">
      <alignment/>
      <protection/>
    </xf>
    <xf numFmtId="0" fontId="32" fillId="0" borderId="14" xfId="51" applyFont="1" applyBorder="1" applyAlignment="1">
      <alignment horizontal="center" vertical="center"/>
      <protection/>
    </xf>
    <xf numFmtId="2" fontId="32" fillId="0" borderId="14" xfId="51" applyNumberFormat="1" applyFont="1" applyBorder="1" applyAlignment="1">
      <alignment horizontal="center" vertical="center"/>
      <protection/>
    </xf>
    <xf numFmtId="2" fontId="32" fillId="0" borderId="16" xfId="51" applyNumberFormat="1" applyFont="1" applyBorder="1" applyAlignment="1">
      <alignment horizontal="center" vertical="center"/>
      <protection/>
    </xf>
    <xf numFmtId="2" fontId="32" fillId="0" borderId="16" xfId="51" applyNumberFormat="1" applyFont="1" applyBorder="1">
      <alignment/>
      <protection/>
    </xf>
    <xf numFmtId="181" fontId="33" fillId="0" borderId="12" xfId="51" applyNumberFormat="1" applyFont="1" applyBorder="1">
      <alignment/>
      <protection/>
    </xf>
    <xf numFmtId="0" fontId="33" fillId="0" borderId="12" xfId="51" applyFont="1" applyBorder="1">
      <alignment/>
      <protection/>
    </xf>
    <xf numFmtId="2" fontId="33" fillId="0" borderId="12" xfId="51" applyNumberFormat="1" applyFont="1" applyBorder="1">
      <alignment/>
      <protection/>
    </xf>
    <xf numFmtId="2" fontId="33" fillId="0" borderId="17" xfId="51" applyNumberFormat="1" applyFont="1" applyBorder="1">
      <alignment/>
      <protection/>
    </xf>
    <xf numFmtId="181" fontId="32" fillId="0" borderId="13" xfId="51" applyNumberFormat="1" applyFont="1" applyBorder="1">
      <alignment/>
      <protection/>
    </xf>
    <xf numFmtId="181" fontId="33" fillId="0" borderId="13" xfId="51" applyNumberFormat="1" applyFont="1" applyBorder="1">
      <alignment/>
      <protection/>
    </xf>
    <xf numFmtId="181" fontId="32" fillId="0" borderId="16" xfId="51" applyNumberFormat="1" applyFont="1" applyBorder="1">
      <alignment/>
      <protection/>
    </xf>
    <xf numFmtId="0" fontId="32" fillId="0" borderId="16" xfId="51" applyFont="1" applyBorder="1">
      <alignment/>
      <protection/>
    </xf>
    <xf numFmtId="0" fontId="53" fillId="18" borderId="0" xfId="51" applyFont="1" applyFill="1">
      <alignment/>
      <protection/>
    </xf>
    <xf numFmtId="180" fontId="53" fillId="18" borderId="0" xfId="51" applyNumberFormat="1" applyFont="1" applyFill="1">
      <alignment/>
      <protection/>
    </xf>
    <xf numFmtId="0" fontId="33" fillId="14" borderId="21" xfId="51" applyFont="1" applyFill="1" applyBorder="1" applyAlignment="1">
      <alignment horizontal="center" vertical="center" textRotation="90"/>
      <protection/>
    </xf>
    <xf numFmtId="0" fontId="33" fillId="14" borderId="21" xfId="51" applyFont="1" applyFill="1" applyBorder="1" applyAlignment="1">
      <alignment horizontal="center" vertical="center" textRotation="90" wrapText="1"/>
      <protection/>
    </xf>
    <xf numFmtId="2" fontId="32" fillId="0" borderId="29" xfId="51" applyNumberFormat="1" applyFont="1" applyBorder="1" applyAlignment="1">
      <alignment horizontal="center" vertical="center"/>
      <protection/>
    </xf>
    <xf numFmtId="2" fontId="33" fillId="0" borderId="30" xfId="51" applyNumberFormat="1" applyFont="1" applyBorder="1" applyAlignment="1">
      <alignment horizontal="center" vertical="center"/>
      <protection/>
    </xf>
    <xf numFmtId="2" fontId="32" fillId="0" borderId="30" xfId="51" applyNumberFormat="1" applyFont="1" applyBorder="1" applyAlignment="1">
      <alignment horizontal="center" vertical="center"/>
      <protection/>
    </xf>
    <xf numFmtId="2" fontId="32" fillId="0" borderId="31" xfId="51" applyNumberFormat="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 wrapText="1"/>
      <protection/>
    </xf>
    <xf numFmtId="0" fontId="33" fillId="0" borderId="17" xfId="51" applyFont="1" applyBorder="1">
      <alignment/>
      <protection/>
    </xf>
    <xf numFmtId="0" fontId="32" fillId="0" borderId="17" xfId="51" applyFont="1" applyBorder="1">
      <alignment/>
      <protection/>
    </xf>
    <xf numFmtId="0" fontId="32" fillId="0" borderId="0" xfId="51" applyFont="1" applyBorder="1" applyAlignment="1">
      <alignment horizontal="left" vertical="top" wrapText="1"/>
      <protection/>
    </xf>
    <xf numFmtId="0" fontId="13" fillId="0" borderId="0" xfId="51" applyFont="1" applyAlignment="1">
      <alignment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35" fillId="18" borderId="0" xfId="51" applyFont="1" applyFill="1" applyBorder="1" applyAlignment="1">
      <alignment horizontal="left" wrapText="1"/>
      <protection/>
    </xf>
    <xf numFmtId="0" fontId="32" fillId="0" borderId="29" xfId="51" applyFont="1" applyBorder="1" applyAlignment="1">
      <alignment horizontal="center"/>
      <protection/>
    </xf>
    <xf numFmtId="4" fontId="32" fillId="0" borderId="29" xfId="51" applyNumberFormat="1" applyFont="1" applyBorder="1" applyAlignment="1">
      <alignment horizontal="center"/>
      <protection/>
    </xf>
    <xf numFmtId="2" fontId="54" fillId="0" borderId="0" xfId="51" applyNumberFormat="1" applyFont="1">
      <alignment/>
      <protection/>
    </xf>
    <xf numFmtId="0" fontId="32" fillId="0" borderId="30" xfId="51" applyFont="1" applyBorder="1" applyAlignment="1">
      <alignment horizontal="center"/>
      <protection/>
    </xf>
    <xf numFmtId="4" fontId="32" fillId="0" borderId="30" xfId="51" applyNumberFormat="1" applyFont="1" applyBorder="1" applyAlignment="1">
      <alignment horizontal="center"/>
      <protection/>
    </xf>
    <xf numFmtId="0" fontId="32" fillId="0" borderId="32" xfId="51" applyFont="1" applyBorder="1" applyAlignment="1">
      <alignment horizontal="center"/>
      <protection/>
    </xf>
    <xf numFmtId="4" fontId="32" fillId="0" borderId="32" xfId="51" applyNumberFormat="1" applyFont="1" applyBorder="1" applyAlignment="1">
      <alignment horizontal="center"/>
      <protection/>
    </xf>
    <xf numFmtId="4" fontId="32" fillId="18" borderId="0" xfId="51" applyNumberFormat="1" applyFont="1" applyFill="1" applyBorder="1" applyAlignment="1">
      <alignment horizontal="center"/>
      <protection/>
    </xf>
    <xf numFmtId="0" fontId="0" fillId="18" borderId="0" xfId="0" applyFill="1" applyBorder="1" applyAlignment="1">
      <alignment/>
    </xf>
    <xf numFmtId="0" fontId="13" fillId="0" borderId="0" xfId="51" applyAlignment="1">
      <alignment wrapText="1"/>
      <protection/>
    </xf>
    <xf numFmtId="0" fontId="29" fillId="0" borderId="10" xfId="51" applyFont="1" applyBorder="1">
      <alignment/>
      <protection/>
    </xf>
    <xf numFmtId="0" fontId="35" fillId="0" borderId="0" xfId="51" applyFont="1" applyFill="1" applyBorder="1" applyAlignment="1">
      <alignment wrapText="1"/>
      <protection/>
    </xf>
    <xf numFmtId="0" fontId="32" fillId="0" borderId="16" xfId="51" applyFont="1" applyBorder="1" applyAlignment="1">
      <alignment horizontal="center" vertical="center"/>
      <protection/>
    </xf>
    <xf numFmtId="0" fontId="13" fillId="0" borderId="0" xfId="51" applyAlignment="1">
      <alignment horizontal="right"/>
      <protection/>
    </xf>
    <xf numFmtId="0" fontId="19" fillId="18" borderId="0" xfId="69" applyNumberFormat="1" applyFill="1" applyBorder="1" applyAlignment="1" applyProtection="1">
      <alignment wrapText="1"/>
      <protection/>
    </xf>
    <xf numFmtId="0" fontId="32" fillId="0" borderId="17" xfId="51" applyFont="1" applyBorder="1" applyAlignment="1">
      <alignment horizontal="right" vertical="center"/>
      <protection/>
    </xf>
    <xf numFmtId="2" fontId="32" fillId="0" borderId="29" xfId="51" applyNumberFormat="1" applyFont="1" applyBorder="1" applyAlignment="1">
      <alignment horizontal="right" vertical="center"/>
      <protection/>
    </xf>
    <xf numFmtId="2" fontId="32" fillId="0" borderId="17" xfId="51" applyNumberFormat="1" applyFont="1" applyBorder="1" applyAlignment="1">
      <alignment horizontal="right" vertical="center"/>
      <protection/>
    </xf>
    <xf numFmtId="0" fontId="32" fillId="0" borderId="12" xfId="51" applyFont="1" applyBorder="1" applyAlignment="1">
      <alignment/>
      <protection/>
    </xf>
    <xf numFmtId="0" fontId="32" fillId="0" borderId="13" xfId="51" applyFont="1" applyBorder="1" applyAlignment="1">
      <alignment horizontal="right" vertical="center"/>
      <protection/>
    </xf>
    <xf numFmtId="2" fontId="32" fillId="0" borderId="30" xfId="51" applyNumberFormat="1" applyFont="1" applyBorder="1" applyAlignment="1">
      <alignment horizontal="right" vertical="center"/>
      <protection/>
    </xf>
    <xf numFmtId="2" fontId="32" fillId="0" borderId="13" xfId="51" applyNumberFormat="1" applyFont="1" applyBorder="1" applyAlignment="1">
      <alignment horizontal="right" vertical="center"/>
      <protection/>
    </xf>
    <xf numFmtId="0" fontId="32" fillId="0" borderId="14" xfId="51" applyFont="1" applyBorder="1" applyAlignment="1">
      <alignment horizontal="right" vertical="center"/>
      <protection/>
    </xf>
    <xf numFmtId="2" fontId="32" fillId="0" borderId="31" xfId="51" applyNumberFormat="1" applyFont="1" applyBorder="1" applyAlignment="1">
      <alignment horizontal="right" vertical="center"/>
      <protection/>
    </xf>
    <xf numFmtId="2" fontId="32" fillId="0" borderId="14" xfId="51" applyNumberFormat="1" applyFont="1" applyBorder="1" applyAlignment="1">
      <alignment horizontal="right" vertical="center"/>
      <protection/>
    </xf>
    <xf numFmtId="2" fontId="32" fillId="0" borderId="14" xfId="51" applyNumberFormat="1" applyFont="1" applyBorder="1" applyAlignment="1">
      <alignment horizontal="right"/>
      <protection/>
    </xf>
    <xf numFmtId="0" fontId="32" fillId="0" borderId="26" xfId="51" applyFont="1" applyBorder="1" applyAlignment="1">
      <alignment horizontal="right" vertical="center"/>
      <protection/>
    </xf>
    <xf numFmtId="2" fontId="32" fillId="0" borderId="33" xfId="51" applyNumberFormat="1" applyFont="1" applyBorder="1" applyAlignment="1">
      <alignment horizontal="right"/>
      <protection/>
    </xf>
    <xf numFmtId="0" fontId="32" fillId="0" borderId="12" xfId="51" applyFont="1" applyBorder="1" applyAlignment="1">
      <alignment horizontal="right" vertical="center"/>
      <protection/>
    </xf>
    <xf numFmtId="2" fontId="32" fillId="0" borderId="34" xfId="51" applyNumberFormat="1" applyFont="1" applyBorder="1" applyAlignment="1">
      <alignment horizontal="right" vertical="center"/>
      <protection/>
    </xf>
    <xf numFmtId="2" fontId="32" fillId="0" borderId="12" xfId="51" applyNumberFormat="1" applyFont="1" applyBorder="1" applyAlignment="1">
      <alignment horizontal="right" vertical="center"/>
      <protection/>
    </xf>
    <xf numFmtId="2" fontId="32" fillId="0" borderId="12" xfId="51" applyNumberFormat="1" applyFont="1" applyBorder="1" applyAlignment="1">
      <alignment horizontal="right"/>
      <protection/>
    </xf>
    <xf numFmtId="0" fontId="33" fillId="0" borderId="14" xfId="51" applyFont="1" applyBorder="1" applyAlignment="1">
      <alignment horizontal="right" vertical="center"/>
      <protection/>
    </xf>
    <xf numFmtId="2" fontId="33" fillId="0" borderId="30" xfId="51" applyNumberFormat="1" applyFont="1" applyBorder="1" applyAlignment="1">
      <alignment horizontal="right" vertical="center"/>
      <protection/>
    </xf>
    <xf numFmtId="2" fontId="33" fillId="0" borderId="13" xfId="51" applyNumberFormat="1" applyFont="1" applyBorder="1" applyAlignment="1">
      <alignment horizontal="right" vertical="center"/>
      <protection/>
    </xf>
    <xf numFmtId="0" fontId="32" fillId="0" borderId="0" xfId="51" applyFont="1" applyBorder="1" applyAlignment="1">
      <alignment vertical="center"/>
      <protection/>
    </xf>
    <xf numFmtId="0" fontId="50" fillId="14" borderId="11" xfId="51" applyFont="1" applyFill="1" applyBorder="1" applyAlignment="1">
      <alignment horizontal="center" vertical="center" wrapText="1"/>
      <protection/>
    </xf>
    <xf numFmtId="0" fontId="50" fillId="14" borderId="21" xfId="51" applyFont="1" applyFill="1" applyBorder="1" applyAlignment="1">
      <alignment horizontal="center" vertical="center" wrapText="1"/>
      <protection/>
    </xf>
    <xf numFmtId="0" fontId="50" fillId="14" borderId="24" xfId="51" applyFont="1" applyFill="1" applyBorder="1" applyAlignment="1">
      <alignment horizontal="center" vertical="center" wrapText="1"/>
      <protection/>
    </xf>
    <xf numFmtId="0" fontId="50" fillId="14" borderId="35" xfId="51" applyFont="1" applyFill="1" applyBorder="1" applyAlignment="1">
      <alignment horizontal="center" vertical="center" wrapText="1"/>
      <protection/>
    </xf>
    <xf numFmtId="0" fontId="50" fillId="14" borderId="22" xfId="51" applyFont="1" applyFill="1" applyBorder="1" applyAlignment="1">
      <alignment horizontal="center" vertical="center" wrapText="1"/>
      <protection/>
    </xf>
    <xf numFmtId="0" fontId="33" fillId="14" borderId="34" xfId="51" applyFont="1" applyFill="1" applyBorder="1" applyAlignment="1">
      <alignment horizontal="center" vertical="center"/>
      <protection/>
    </xf>
    <xf numFmtId="0" fontId="33" fillId="14" borderId="12" xfId="51" applyFont="1" applyFill="1" applyBorder="1" applyAlignment="1">
      <alignment horizontal="center" vertical="center"/>
      <protection/>
    </xf>
    <xf numFmtId="0" fontId="33" fillId="14" borderId="25" xfId="51" applyFont="1" applyFill="1" applyBorder="1" applyAlignment="1">
      <alignment horizontal="center" vertical="center"/>
      <protection/>
    </xf>
    <xf numFmtId="2" fontId="33" fillId="14" borderId="13" xfId="51" applyNumberFormat="1" applyFont="1" applyFill="1" applyBorder="1" applyAlignment="1">
      <alignment horizontal="center" vertical="center"/>
      <protection/>
    </xf>
    <xf numFmtId="4" fontId="33" fillId="14" borderId="26" xfId="51" applyNumberFormat="1" applyFont="1" applyFill="1" applyBorder="1" applyAlignment="1">
      <alignment horizontal="center" vertical="center"/>
      <protection/>
    </xf>
    <xf numFmtId="0" fontId="33" fillId="14" borderId="30" xfId="51" applyFont="1" applyFill="1" applyBorder="1" applyAlignment="1">
      <alignment horizontal="center" vertical="center"/>
      <protection/>
    </xf>
    <xf numFmtId="0" fontId="33" fillId="14" borderId="13" xfId="51" applyFont="1" applyFill="1" applyBorder="1" applyAlignment="1">
      <alignment horizontal="center" vertical="center"/>
      <protection/>
    </xf>
    <xf numFmtId="0" fontId="33" fillId="14" borderId="26" xfId="51" applyFont="1" applyFill="1" applyBorder="1" applyAlignment="1">
      <alignment horizontal="center" vertical="center"/>
      <protection/>
    </xf>
    <xf numFmtId="4" fontId="32" fillId="0" borderId="26" xfId="51" applyNumberFormat="1" applyFont="1" applyBorder="1" applyAlignment="1">
      <alignment horizontal="center" vertical="center"/>
      <protection/>
    </xf>
    <xf numFmtId="4" fontId="33" fillId="0" borderId="26" xfId="51" applyNumberFormat="1" applyFont="1" applyBorder="1" applyAlignment="1">
      <alignment horizontal="center" vertical="center"/>
      <protection/>
    </xf>
    <xf numFmtId="4" fontId="32" fillId="0" borderId="27" xfId="51" applyNumberFormat="1" applyFont="1" applyBorder="1" applyAlignment="1">
      <alignment horizontal="center" vertical="center"/>
      <protection/>
    </xf>
    <xf numFmtId="0" fontId="32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4" fontId="32" fillId="0" borderId="26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2" fontId="32" fillId="0" borderId="16" xfId="0" applyNumberFormat="1" applyFont="1" applyBorder="1" applyAlignment="1">
      <alignment horizontal="center" vertical="center"/>
    </xf>
    <xf numFmtId="4" fontId="32" fillId="0" borderId="27" xfId="0" applyNumberFormat="1" applyFont="1" applyBorder="1" applyAlignment="1">
      <alignment horizontal="center" vertical="center"/>
    </xf>
    <xf numFmtId="0" fontId="33" fillId="14" borderId="17" xfId="51" applyFont="1" applyFill="1" applyBorder="1" applyAlignment="1">
      <alignment horizontal="center" vertical="center"/>
      <protection/>
    </xf>
    <xf numFmtId="2" fontId="33" fillId="14" borderId="17" xfId="51" applyNumberFormat="1" applyFont="1" applyFill="1" applyBorder="1" applyAlignment="1">
      <alignment horizontal="center" vertical="center"/>
      <protection/>
    </xf>
    <xf numFmtId="4" fontId="33" fillId="14" borderId="28" xfId="51" applyNumberFormat="1" applyFont="1" applyFill="1" applyBorder="1" applyAlignment="1">
      <alignment horizontal="center" vertical="center"/>
      <protection/>
    </xf>
    <xf numFmtId="0" fontId="32" fillId="18" borderId="13" xfId="51" applyFont="1" applyFill="1" applyBorder="1" applyAlignment="1">
      <alignment horizontal="center" vertical="center"/>
      <protection/>
    </xf>
    <xf numFmtId="2" fontId="32" fillId="18" borderId="13" xfId="51" applyNumberFormat="1" applyFont="1" applyFill="1" applyBorder="1" applyAlignment="1">
      <alignment horizontal="center" vertical="center"/>
      <protection/>
    </xf>
    <xf numFmtId="4" fontId="32" fillId="18" borderId="26" xfId="51" applyNumberFormat="1" applyFont="1" applyFill="1" applyBorder="1" applyAlignment="1">
      <alignment horizontal="center" vertical="center"/>
      <protection/>
    </xf>
    <xf numFmtId="0" fontId="32" fillId="18" borderId="16" xfId="51" applyFont="1" applyFill="1" applyBorder="1" applyAlignment="1">
      <alignment horizontal="center" vertical="center"/>
      <protection/>
    </xf>
    <xf numFmtId="0" fontId="32" fillId="18" borderId="14" xfId="51" applyFont="1" applyFill="1" applyBorder="1" applyAlignment="1">
      <alignment horizontal="center" vertical="center"/>
      <protection/>
    </xf>
    <xf numFmtId="2" fontId="32" fillId="18" borderId="14" xfId="51" applyNumberFormat="1" applyFont="1" applyFill="1" applyBorder="1" applyAlignment="1">
      <alignment horizontal="center" vertical="center"/>
      <protection/>
    </xf>
    <xf numFmtId="4" fontId="32" fillId="18" borderId="38" xfId="51" applyNumberFormat="1" applyFont="1" applyFill="1" applyBorder="1" applyAlignment="1">
      <alignment horizontal="center" vertical="center"/>
      <protection/>
    </xf>
    <xf numFmtId="2" fontId="32" fillId="0" borderId="17" xfId="51" applyNumberFormat="1" applyFont="1" applyFill="1" applyBorder="1" applyAlignment="1">
      <alignment horizontal="center" vertical="center"/>
      <protection/>
    </xf>
    <xf numFmtId="4" fontId="32" fillId="0" borderId="28" xfId="51" applyNumberFormat="1" applyFont="1" applyBorder="1" applyAlignment="1">
      <alignment horizontal="center" vertical="center"/>
      <protection/>
    </xf>
    <xf numFmtId="2" fontId="32" fillId="0" borderId="13" xfId="51" applyNumberFormat="1" applyFont="1" applyFill="1" applyBorder="1" applyAlignment="1">
      <alignment horizontal="center" vertical="center"/>
      <protection/>
    </xf>
    <xf numFmtId="0" fontId="32" fillId="0" borderId="13" xfId="51" applyFont="1" applyFill="1" applyBorder="1" applyAlignment="1">
      <alignment horizontal="center" vertical="center"/>
      <protection/>
    </xf>
    <xf numFmtId="4" fontId="32" fillId="0" borderId="26" xfId="51" applyNumberFormat="1" applyFont="1" applyFill="1" applyBorder="1" applyAlignment="1">
      <alignment horizontal="center" vertical="center"/>
      <protection/>
    </xf>
    <xf numFmtId="2" fontId="32" fillId="0" borderId="16" xfId="51" applyNumberFormat="1" applyFont="1" applyFill="1" applyBorder="1" applyAlignment="1">
      <alignment horizontal="center" vertical="center"/>
      <protection/>
    </xf>
    <xf numFmtId="4" fontId="32" fillId="0" borderId="38" xfId="51" applyNumberFormat="1" applyFont="1" applyBorder="1" applyAlignment="1">
      <alignment horizontal="center" vertical="center"/>
      <protection/>
    </xf>
    <xf numFmtId="0" fontId="59" fillId="18" borderId="0" xfId="51" applyFont="1" applyFill="1" applyBorder="1" applyAlignment="1">
      <alignment horizontal="left"/>
      <protection/>
    </xf>
    <xf numFmtId="0" fontId="33" fillId="0" borderId="11" xfId="51" applyFont="1" applyFill="1" applyBorder="1" applyAlignment="1">
      <alignment horizontal="left" vertical="center"/>
      <protection/>
    </xf>
    <xf numFmtId="0" fontId="32" fillId="0" borderId="11" xfId="51" applyFont="1" applyFill="1" applyBorder="1" applyAlignment="1">
      <alignment horizontal="center" vertical="center"/>
      <protection/>
    </xf>
    <xf numFmtId="2" fontId="32" fillId="0" borderId="11" xfId="51" applyNumberFormat="1" applyFont="1" applyFill="1" applyBorder="1" applyAlignment="1">
      <alignment horizontal="center" vertical="center"/>
      <protection/>
    </xf>
    <xf numFmtId="0" fontId="32" fillId="0" borderId="17" xfId="51" applyFont="1" applyFill="1" applyBorder="1" applyAlignment="1">
      <alignment horizontal="center" vertical="center"/>
      <protection/>
    </xf>
    <xf numFmtId="0" fontId="32" fillId="0" borderId="16" xfId="51" applyFont="1" applyFill="1" applyBorder="1" applyAlignment="1">
      <alignment horizontal="center" vertical="center"/>
      <protection/>
    </xf>
    <xf numFmtId="0" fontId="43" fillId="18" borderId="0" xfId="51" applyFont="1" applyFill="1">
      <alignment/>
      <protection/>
    </xf>
    <xf numFmtId="182" fontId="43" fillId="18" borderId="0" xfId="51" applyNumberFormat="1" applyFont="1" applyFill="1">
      <alignment/>
      <protection/>
    </xf>
    <xf numFmtId="0" fontId="43" fillId="0" borderId="0" xfId="51" applyFont="1" applyAlignment="1">
      <alignment/>
      <protection/>
    </xf>
    <xf numFmtId="0" fontId="28" fillId="0" borderId="0" xfId="51" applyFont="1">
      <alignment/>
      <protection/>
    </xf>
    <xf numFmtId="0" fontId="28" fillId="0" borderId="0" xfId="51" applyFont="1" applyAlignment="1">
      <alignment/>
      <protection/>
    </xf>
    <xf numFmtId="0" fontId="60" fillId="18" borderId="0" xfId="85" applyFont="1" applyFill="1" applyBorder="1" applyAlignment="1">
      <alignment wrapText="1"/>
      <protection/>
    </xf>
    <xf numFmtId="0" fontId="28" fillId="18" borderId="0" xfId="85" applyFont="1" applyFill="1" applyBorder="1" applyAlignment="1">
      <alignment vertical="center" wrapText="1"/>
      <protection/>
    </xf>
    <xf numFmtId="2" fontId="28" fillId="18" borderId="0" xfId="85" applyNumberFormat="1" applyFont="1" applyFill="1" applyBorder="1">
      <alignment/>
      <protection/>
    </xf>
    <xf numFmtId="2" fontId="62" fillId="18" borderId="0" xfId="85" applyNumberFormat="1" applyFont="1" applyFill="1" applyBorder="1">
      <alignment/>
      <protection/>
    </xf>
    <xf numFmtId="0" fontId="30" fillId="14" borderId="11" xfId="85" applyFont="1" applyFill="1" applyBorder="1" applyAlignment="1">
      <alignment horizontal="center" vertical="center"/>
      <protection/>
    </xf>
    <xf numFmtId="0" fontId="30" fillId="14" borderId="11" xfId="85" applyFont="1" applyFill="1" applyBorder="1" applyAlignment="1">
      <alignment horizontal="center" vertical="center" wrapText="1"/>
      <protection/>
    </xf>
    <xf numFmtId="0" fontId="30" fillId="14" borderId="22" xfId="85" applyFont="1" applyFill="1" applyBorder="1" applyAlignment="1">
      <alignment horizontal="center" vertical="center"/>
      <protection/>
    </xf>
    <xf numFmtId="0" fontId="30" fillId="14" borderId="22" xfId="85" applyFont="1" applyFill="1" applyBorder="1" applyAlignment="1">
      <alignment horizontal="center" vertical="center" wrapText="1"/>
      <protection/>
    </xf>
    <xf numFmtId="0" fontId="63" fillId="0" borderId="12" xfId="85" applyFont="1" applyBorder="1" applyAlignment="1">
      <alignment vertical="top" wrapText="1"/>
      <protection/>
    </xf>
    <xf numFmtId="4" fontId="64" fillId="0" borderId="12" xfId="85" applyNumberFormat="1" applyFont="1" applyBorder="1" applyAlignment="1">
      <alignment horizontal="center" vertical="top" wrapText="1"/>
      <protection/>
    </xf>
    <xf numFmtId="0" fontId="63" fillId="0" borderId="13" xfId="85" applyFont="1" applyBorder="1" applyAlignment="1">
      <alignment vertical="top" wrapText="1"/>
      <protection/>
    </xf>
    <xf numFmtId="4" fontId="64" fillId="0" borderId="13" xfId="85" applyNumberFormat="1" applyFont="1" applyBorder="1" applyAlignment="1">
      <alignment horizontal="center" vertical="top" wrapText="1"/>
      <protection/>
    </xf>
    <xf numFmtId="0" fontId="63" fillId="0" borderId="16" xfId="85" applyFont="1" applyBorder="1" applyAlignment="1">
      <alignment vertical="top" wrapText="1"/>
      <protection/>
    </xf>
    <xf numFmtId="4" fontId="64" fillId="0" borderId="16" xfId="85" applyNumberFormat="1" applyFont="1" applyBorder="1" applyAlignment="1">
      <alignment horizontal="center" vertical="top" wrapText="1"/>
      <protection/>
    </xf>
    <xf numFmtId="0" fontId="28" fillId="18" borderId="0" xfId="51" applyFont="1" applyFill="1">
      <alignment/>
      <protection/>
    </xf>
    <xf numFmtId="0" fontId="65" fillId="0" borderId="0" xfId="51" applyFont="1" applyAlignment="1">
      <alignment/>
      <protection/>
    </xf>
    <xf numFmtId="0" fontId="0" fillId="19" borderId="39" xfId="51" applyFont="1" applyFill="1" applyBorder="1">
      <alignment/>
      <protection/>
    </xf>
    <xf numFmtId="0" fontId="19" fillId="18" borderId="39" xfId="69" applyNumberFormat="1" applyFill="1" applyBorder="1" applyAlignment="1" applyProtection="1">
      <alignment horizontal="center" vertical="center" wrapText="1"/>
      <protection/>
    </xf>
    <xf numFmtId="0" fontId="0" fillId="18" borderId="39" xfId="51" applyFont="1" applyFill="1" applyBorder="1">
      <alignment/>
      <protection/>
    </xf>
    <xf numFmtId="0" fontId="19" fillId="18" borderId="39" xfId="69" applyNumberFormat="1" applyFont="1" applyFill="1" applyBorder="1" applyAlignment="1" applyProtection="1">
      <alignment horizontal="center" vertical="center" wrapText="1"/>
      <protection/>
    </xf>
    <xf numFmtId="0" fontId="13" fillId="18" borderId="39" xfId="51" applyFill="1" applyBorder="1" applyAlignment="1">
      <alignment/>
      <protection/>
    </xf>
    <xf numFmtId="0" fontId="13" fillId="0" borderId="39" xfId="51" applyBorder="1">
      <alignment/>
      <protection/>
    </xf>
    <xf numFmtId="0" fontId="19" fillId="0" borderId="39" xfId="69" applyBorder="1" applyAlignment="1">
      <alignment horizontal="center"/>
      <protection/>
    </xf>
    <xf numFmtId="0" fontId="33" fillId="14" borderId="40" xfId="51" applyFont="1" applyFill="1" applyBorder="1" applyAlignment="1">
      <alignment horizontal="center" vertical="center" wrapText="1"/>
      <protection/>
    </xf>
    <xf numFmtId="2" fontId="33" fillId="0" borderId="13" xfId="51" applyNumberFormat="1" applyFont="1" applyBorder="1" applyAlignment="1">
      <alignment horizontal="center"/>
      <protection/>
    </xf>
    <xf numFmtId="0" fontId="33" fillId="0" borderId="3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4" fontId="33" fillId="0" borderId="26" xfId="0" applyNumberFormat="1" applyFont="1" applyBorder="1" applyAlignment="1">
      <alignment horizontal="center" vertical="center"/>
    </xf>
    <xf numFmtId="0" fontId="19" fillId="18" borderId="41" xfId="69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42" xfId="0" applyBorder="1" applyAlignment="1">
      <alignment vertical="top"/>
    </xf>
    <xf numFmtId="0" fontId="19" fillId="18" borderId="43" xfId="69" applyNumberFormat="1" applyFill="1" applyBorder="1" applyAlignment="1" applyProtection="1">
      <alignment horizontal="center" vertical="center" wrapText="1"/>
      <protection/>
    </xf>
    <xf numFmtId="0" fontId="19" fillId="0" borderId="0" xfId="69" applyAlignment="1">
      <alignment horizontal="center"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19" fillId="0" borderId="0" xfId="69" applyFont="1" applyAlignment="1">
      <alignment horizontal="center"/>
      <protection/>
    </xf>
    <xf numFmtId="0" fontId="13" fillId="0" borderId="45" xfId="51" applyBorder="1">
      <alignment/>
      <protection/>
    </xf>
    <xf numFmtId="0" fontId="30" fillId="2" borderId="11" xfId="51" applyFont="1" applyFill="1" applyBorder="1" applyAlignment="1">
      <alignment horizontal="center" vertical="center"/>
      <protection/>
    </xf>
    <xf numFmtId="0" fontId="30" fillId="2" borderId="11" xfId="51" applyFont="1" applyFill="1" applyBorder="1" applyAlignment="1">
      <alignment horizontal="center" vertical="center" textRotation="90"/>
      <protection/>
    </xf>
    <xf numFmtId="0" fontId="30" fillId="2" borderId="11" xfId="51" applyFont="1" applyFill="1" applyBorder="1" applyAlignment="1">
      <alignment horizontal="center" vertical="center" textRotation="90" wrapText="1"/>
      <protection/>
    </xf>
    <xf numFmtId="0" fontId="30" fillId="2" borderId="11" xfId="51" applyNumberFormat="1" applyFont="1" applyFill="1" applyBorder="1" applyAlignment="1">
      <alignment horizontal="center" vertical="center" textRotation="90" wrapText="1"/>
      <protection/>
    </xf>
    <xf numFmtId="0" fontId="19" fillId="18" borderId="46" xfId="69" applyNumberFormat="1" applyFill="1" applyBorder="1" applyAlignment="1" applyProtection="1">
      <alignment horizontal="center" vertical="center" wrapText="1"/>
      <protection/>
    </xf>
    <xf numFmtId="0" fontId="66" fillId="20" borderId="47" xfId="51" applyFont="1" applyFill="1" applyBorder="1" applyAlignment="1">
      <alignment horizontal="center" vertical="center"/>
      <protection/>
    </xf>
    <xf numFmtId="0" fontId="66" fillId="20" borderId="48" xfId="51" applyFont="1" applyFill="1" applyBorder="1" applyAlignment="1">
      <alignment horizontal="center" vertical="center"/>
      <protection/>
    </xf>
    <xf numFmtId="0" fontId="0" fillId="18" borderId="0" xfId="51" applyFont="1" applyFill="1" applyBorder="1" applyAlignment="1">
      <alignment vertical="top" wrapText="1"/>
      <protection/>
    </xf>
    <xf numFmtId="0" fontId="0" fillId="18" borderId="46" xfId="51" applyFont="1" applyFill="1" applyBorder="1" applyAlignment="1">
      <alignment vertical="top" wrapText="1"/>
      <protection/>
    </xf>
    <xf numFmtId="0" fontId="0" fillId="18" borderId="36" xfId="51" applyFont="1" applyFill="1" applyBorder="1" applyAlignment="1">
      <alignment vertical="top" wrapText="1"/>
      <protection/>
    </xf>
    <xf numFmtId="0" fontId="0" fillId="18" borderId="49" xfId="51" applyFont="1" applyFill="1" applyBorder="1" applyAlignment="1">
      <alignment vertical="top" wrapText="1"/>
      <protection/>
    </xf>
    <xf numFmtId="0" fontId="0" fillId="18" borderId="50" xfId="51" applyFont="1" applyFill="1" applyBorder="1" applyAlignment="1">
      <alignment horizontal="left" vertical="top" wrapText="1"/>
      <protection/>
    </xf>
    <xf numFmtId="0" fontId="0" fillId="18" borderId="45" xfId="51" applyFont="1" applyFill="1" applyBorder="1" applyAlignment="1">
      <alignment vertical="top" wrapText="1"/>
      <protection/>
    </xf>
    <xf numFmtId="0" fontId="0" fillId="18" borderId="39" xfId="51" applyFont="1" applyFill="1" applyBorder="1" applyAlignment="1">
      <alignment horizontal="left" vertical="top" wrapText="1"/>
      <protection/>
    </xf>
    <xf numFmtId="0" fontId="0" fillId="18" borderId="39" xfId="51" applyFont="1" applyFill="1" applyBorder="1" applyAlignment="1">
      <alignment vertical="top" wrapText="1"/>
      <protection/>
    </xf>
    <xf numFmtId="0" fontId="0" fillId="18" borderId="51" xfId="51" applyFont="1" applyFill="1" applyBorder="1" applyAlignment="1">
      <alignment vertical="top" wrapText="1"/>
      <protection/>
    </xf>
    <xf numFmtId="0" fontId="0" fillId="18" borderId="52" xfId="51" applyFont="1" applyFill="1" applyBorder="1" applyAlignment="1">
      <alignment vertical="top" wrapText="1"/>
      <protection/>
    </xf>
    <xf numFmtId="0" fontId="0" fillId="18" borderId="53" xfId="51" applyFont="1" applyFill="1" applyBorder="1" applyAlignment="1">
      <alignment vertical="top" wrapText="1"/>
      <protection/>
    </xf>
    <xf numFmtId="0" fontId="0" fillId="18" borderId="54" xfId="51" applyFont="1" applyFill="1" applyBorder="1" applyAlignment="1">
      <alignment vertical="top" wrapText="1"/>
      <protection/>
    </xf>
    <xf numFmtId="0" fontId="0" fillId="18" borderId="46" xfId="51" applyFont="1" applyFill="1" applyBorder="1" applyAlignment="1">
      <alignment horizontal="left" vertical="top" wrapText="1"/>
      <protection/>
    </xf>
    <xf numFmtId="0" fontId="0" fillId="18" borderId="53" xfId="51" applyFont="1" applyFill="1" applyBorder="1" applyAlignment="1">
      <alignment horizontal="left" vertical="top" wrapText="1"/>
      <protection/>
    </xf>
    <xf numFmtId="0" fontId="0" fillId="0" borderId="49" xfId="51" applyFont="1" applyFill="1" applyBorder="1" applyAlignment="1">
      <alignment horizontal="left" vertical="top" wrapText="1"/>
      <protection/>
    </xf>
    <xf numFmtId="0" fontId="0" fillId="0" borderId="50" xfId="51" applyFont="1" applyFill="1" applyBorder="1" applyAlignment="1">
      <alignment horizontal="left" vertical="top" wrapText="1"/>
      <protection/>
    </xf>
    <xf numFmtId="0" fontId="0" fillId="0" borderId="55" xfId="51" applyFont="1" applyFill="1" applyBorder="1" applyAlignment="1">
      <alignment horizontal="left" vertical="top" wrapText="1"/>
      <protection/>
    </xf>
    <xf numFmtId="0" fontId="0" fillId="18" borderId="56" xfId="51" applyFont="1" applyFill="1" applyBorder="1" applyAlignment="1">
      <alignment vertical="top" wrapText="1"/>
      <protection/>
    </xf>
    <xf numFmtId="0" fontId="0" fillId="18" borderId="57" xfId="51" applyFont="1" applyFill="1" applyBorder="1" applyAlignment="1">
      <alignment vertical="top" wrapText="1"/>
      <protection/>
    </xf>
    <xf numFmtId="0" fontId="32" fillId="0" borderId="13" xfId="51" applyFont="1" applyFill="1" applyBorder="1" applyAlignment="1">
      <alignment horizontal="center"/>
      <protection/>
    </xf>
    <xf numFmtId="0" fontId="32" fillId="0" borderId="13" xfId="51" applyFont="1" applyBorder="1" applyAlignment="1">
      <alignment horizontal="center"/>
      <protection/>
    </xf>
    <xf numFmtId="0" fontId="19" fillId="0" borderId="0" xfId="69">
      <alignment/>
      <protection/>
    </xf>
    <xf numFmtId="0" fontId="32" fillId="0" borderId="58" xfId="51" applyFont="1" applyBorder="1" applyAlignment="1">
      <alignment wrapText="1"/>
      <protection/>
    </xf>
    <xf numFmtId="49" fontId="32" fillId="0" borderId="59" xfId="51" applyNumberFormat="1" applyFont="1" applyBorder="1">
      <alignment/>
      <protection/>
    </xf>
    <xf numFmtId="2" fontId="32" fillId="0" borderId="60" xfId="51" applyNumberFormat="1" applyFont="1" applyBorder="1" applyAlignment="1">
      <alignment horizontal="center"/>
      <protection/>
    </xf>
    <xf numFmtId="0" fontId="32" fillId="0" borderId="61" xfId="51" applyFont="1" applyBorder="1" applyAlignment="1">
      <alignment wrapText="1"/>
      <protection/>
    </xf>
    <xf numFmtId="2" fontId="32" fillId="0" borderId="62" xfId="51" applyNumberFormat="1" applyFont="1" applyBorder="1" applyAlignment="1">
      <alignment horizontal="center"/>
      <protection/>
    </xf>
    <xf numFmtId="0" fontId="32" fillId="0" borderId="63" xfId="51" applyFont="1" applyBorder="1" applyAlignment="1">
      <alignment wrapText="1"/>
      <protection/>
    </xf>
    <xf numFmtId="49" fontId="32" fillId="0" borderId="64" xfId="51" applyNumberFormat="1" applyFont="1" applyBorder="1">
      <alignment/>
      <protection/>
    </xf>
    <xf numFmtId="2" fontId="32" fillId="0" borderId="65" xfId="51" applyNumberFormat="1" applyFont="1" applyBorder="1" applyAlignment="1">
      <alignment horizontal="center"/>
      <protection/>
    </xf>
    <xf numFmtId="0" fontId="31" fillId="0" borderId="66" xfId="51" applyFont="1" applyBorder="1" applyAlignment="1">
      <alignment horizontal="center"/>
      <protection/>
    </xf>
    <xf numFmtId="0" fontId="32" fillId="0" borderId="64" xfId="51" applyFont="1" applyBorder="1" applyAlignment="1">
      <alignment horizontal="center" vertical="center" wrapText="1"/>
      <protection/>
    </xf>
    <xf numFmtId="2" fontId="32" fillId="0" borderId="64" xfId="51" applyNumberFormat="1" applyFont="1" applyBorder="1" applyAlignment="1">
      <alignment horizontal="center" vertical="center" wrapText="1"/>
      <protection/>
    </xf>
    <xf numFmtId="0" fontId="33" fillId="0" borderId="58" xfId="51" applyFont="1" applyBorder="1" applyAlignment="1">
      <alignment horizontal="center" vertical="center" wrapText="1"/>
      <protection/>
    </xf>
    <xf numFmtId="0" fontId="33" fillId="0" borderId="59" xfId="51" applyFont="1" applyBorder="1" applyAlignment="1">
      <alignment horizontal="center" vertical="center" wrapText="1"/>
      <protection/>
    </xf>
    <xf numFmtId="2" fontId="33" fillId="0" borderId="59" xfId="51" applyNumberFormat="1" applyFont="1" applyBorder="1" applyAlignment="1">
      <alignment horizontal="center" vertical="center" wrapText="1"/>
      <protection/>
    </xf>
    <xf numFmtId="2" fontId="33" fillId="0" borderId="60" xfId="51" applyNumberFormat="1" applyFont="1" applyBorder="1" applyAlignment="1">
      <alignment horizontal="center" vertical="center" wrapText="1"/>
      <protection/>
    </xf>
    <xf numFmtId="0" fontId="33" fillId="0" borderId="61" xfId="51" applyFont="1" applyBorder="1" applyAlignment="1">
      <alignment horizontal="center" vertical="center" wrapText="1"/>
      <protection/>
    </xf>
    <xf numFmtId="2" fontId="33" fillId="0" borderId="62" xfId="51" applyNumberFormat="1" applyFont="1" applyBorder="1" applyAlignment="1">
      <alignment horizontal="center" vertical="center" wrapText="1"/>
      <protection/>
    </xf>
    <xf numFmtId="0" fontId="32" fillId="0" borderId="61" xfId="51" applyFont="1" applyBorder="1" applyAlignment="1">
      <alignment horizontal="center" vertical="center" wrapText="1"/>
      <protection/>
    </xf>
    <xf numFmtId="2" fontId="32" fillId="0" borderId="62" xfId="51" applyNumberFormat="1" applyFont="1" applyBorder="1" applyAlignment="1">
      <alignment horizontal="center" vertical="center" wrapText="1"/>
      <protection/>
    </xf>
    <xf numFmtId="0" fontId="32" fillId="0" borderId="63" xfId="51" applyFont="1" applyBorder="1" applyAlignment="1">
      <alignment horizontal="center" vertical="center" wrapText="1"/>
      <protection/>
    </xf>
    <xf numFmtId="2" fontId="32" fillId="0" borderId="65" xfId="51" applyNumberFormat="1" applyFont="1" applyBorder="1" applyAlignment="1">
      <alignment horizontal="center" vertical="center" wrapText="1"/>
      <protection/>
    </xf>
    <xf numFmtId="2" fontId="32" fillId="0" borderId="13" xfId="51" applyNumberFormat="1" applyFont="1" applyBorder="1" applyAlignment="1">
      <alignment horizontal="center"/>
      <protection/>
    </xf>
    <xf numFmtId="2" fontId="32" fillId="0" borderId="12" xfId="51" applyNumberFormat="1" applyFont="1" applyBorder="1" applyAlignment="1">
      <alignment horizontal="center"/>
      <protection/>
    </xf>
    <xf numFmtId="2" fontId="32" fillId="0" borderId="13" xfId="51" applyNumberFormat="1" applyFont="1" applyFill="1" applyBorder="1" applyAlignment="1">
      <alignment horizontal="center"/>
      <protection/>
    </xf>
    <xf numFmtId="2" fontId="32" fillId="0" borderId="13" xfId="51" applyNumberFormat="1" applyFont="1" applyBorder="1">
      <alignment/>
      <protection/>
    </xf>
    <xf numFmtId="0" fontId="32" fillId="0" borderId="13" xfId="51" applyFont="1" applyBorder="1">
      <alignment/>
      <protection/>
    </xf>
    <xf numFmtId="0" fontId="33" fillId="0" borderId="14" xfId="51" applyFont="1" applyBorder="1" applyAlignment="1">
      <alignment horizontal="right" vertical="center"/>
      <protection/>
    </xf>
    <xf numFmtId="2" fontId="33" fillId="0" borderId="30" xfId="51" applyNumberFormat="1" applyFont="1" applyBorder="1" applyAlignment="1">
      <alignment horizontal="right" vertical="center"/>
      <protection/>
    </xf>
    <xf numFmtId="2" fontId="33" fillId="0" borderId="13" xfId="51" applyNumberFormat="1" applyFont="1" applyBorder="1" applyAlignment="1">
      <alignment horizontal="right" vertical="center"/>
      <protection/>
    </xf>
    <xf numFmtId="2" fontId="33" fillId="0" borderId="13" xfId="51" applyNumberFormat="1" applyFont="1" applyBorder="1" applyAlignment="1">
      <alignment horizontal="right"/>
      <protection/>
    </xf>
    <xf numFmtId="0" fontId="33" fillId="0" borderId="67" xfId="51" applyFont="1" applyBorder="1" applyAlignment="1">
      <alignment horizontal="center" vertical="center" wrapText="1"/>
      <protection/>
    </xf>
    <xf numFmtId="0" fontId="32" fillId="0" borderId="68" xfId="51" applyFont="1" applyBorder="1" applyAlignment="1">
      <alignment horizontal="center" vertical="center" wrapText="1"/>
      <protection/>
    </xf>
    <xf numFmtId="0" fontId="33" fillId="0" borderId="11" xfId="51" applyFont="1" applyBorder="1" applyAlignment="1">
      <alignment horizontal="center"/>
      <protection/>
    </xf>
    <xf numFmtId="0" fontId="32" fillId="0" borderId="17" xfId="51" applyFont="1" applyBorder="1" applyAlignment="1">
      <alignment horizontal="center"/>
      <protection/>
    </xf>
    <xf numFmtId="2" fontId="33" fillId="0" borderId="11" xfId="51" applyNumberFormat="1" applyFont="1" applyBorder="1" applyAlignment="1">
      <alignment horizontal="center"/>
      <protection/>
    </xf>
    <xf numFmtId="2" fontId="33" fillId="0" borderId="22" xfId="51" applyNumberFormat="1" applyFont="1" applyBorder="1" applyAlignment="1">
      <alignment horizontal="center"/>
      <protection/>
    </xf>
    <xf numFmtId="2" fontId="32" fillId="0" borderId="17" xfId="51" applyNumberFormat="1" applyFont="1" applyBorder="1" applyAlignment="1">
      <alignment horizontal="center"/>
      <protection/>
    </xf>
    <xf numFmtId="0" fontId="13" fillId="0" borderId="69" xfId="51" applyFont="1" applyBorder="1">
      <alignment/>
      <protection/>
    </xf>
    <xf numFmtId="0" fontId="13" fillId="0" borderId="69" xfId="51" applyBorder="1">
      <alignment/>
      <protection/>
    </xf>
    <xf numFmtId="0" fontId="13" fillId="18" borderId="0" xfId="51" applyFill="1" applyBorder="1" applyAlignment="1">
      <alignment horizontal="center"/>
      <protection/>
    </xf>
    <xf numFmtId="0" fontId="19" fillId="18" borderId="0" xfId="69" applyNumberFormat="1" applyFill="1" applyBorder="1" applyAlignment="1" applyProtection="1">
      <alignment horizontal="left" vertical="center" wrapText="1"/>
      <protection/>
    </xf>
    <xf numFmtId="0" fontId="21" fillId="2" borderId="0" xfId="51" applyFont="1" applyFill="1" applyBorder="1" applyAlignment="1">
      <alignment horizontal="left" vertical="center" wrapText="1"/>
      <protection/>
    </xf>
    <xf numFmtId="0" fontId="22" fillId="0" borderId="0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3" fillId="0" borderId="0" xfId="51" applyBorder="1" applyAlignment="1">
      <alignment wrapText="1"/>
      <protection/>
    </xf>
    <xf numFmtId="0" fontId="0" fillId="0" borderId="0" xfId="0" applyAlignment="1">
      <alignment wrapText="1"/>
    </xf>
    <xf numFmtId="0" fontId="22" fillId="0" borderId="0" xfId="69" applyNumberFormat="1" applyFont="1" applyFill="1" applyBorder="1" applyAlignment="1" applyProtection="1">
      <alignment vertical="center"/>
      <protection/>
    </xf>
    <xf numFmtId="0" fontId="19" fillId="0" borderId="0" xfId="69">
      <alignment/>
      <protection/>
    </xf>
    <xf numFmtId="0" fontId="13" fillId="0" borderId="0" xfId="51" applyBorder="1" applyAlignment="1">
      <alignment/>
      <protection/>
    </xf>
    <xf numFmtId="0" fontId="19" fillId="0" borderId="11" xfId="69" applyNumberFormat="1" applyFont="1" applyFill="1" applyBorder="1" applyAlignment="1" applyProtection="1">
      <alignment horizontal="center"/>
      <protection/>
    </xf>
    <xf numFmtId="0" fontId="19" fillId="18" borderId="0" xfId="69" applyNumberFormat="1" applyFill="1" applyBorder="1" applyAlignment="1" applyProtection="1">
      <alignment horizontal="left" wrapText="1"/>
      <protection/>
    </xf>
    <xf numFmtId="0" fontId="13" fillId="18" borderId="0" xfId="51" applyFill="1" applyBorder="1" applyAlignment="1">
      <alignment horizontal="left" vertical="center" wrapText="1"/>
      <protection/>
    </xf>
    <xf numFmtId="0" fontId="28" fillId="18" borderId="0" xfId="51" applyFont="1" applyFill="1" applyBorder="1" applyAlignment="1">
      <alignment vertical="center" wrapText="1"/>
      <protection/>
    </xf>
    <xf numFmtId="0" fontId="19" fillId="0" borderId="11" xfId="69" applyNumberFormat="1" applyFont="1" applyFill="1" applyBorder="1" applyAlignment="1" applyProtection="1">
      <alignment horizontal="center" vertical="center"/>
      <protection/>
    </xf>
    <xf numFmtId="0" fontId="34" fillId="0" borderId="0" xfId="51" applyFont="1" applyBorder="1" applyAlignment="1">
      <alignment vertical="top" wrapText="1"/>
      <protection/>
    </xf>
    <xf numFmtId="0" fontId="19" fillId="0" borderId="70" xfId="69" applyBorder="1" applyAlignment="1">
      <alignment horizontal="center"/>
      <protection/>
    </xf>
    <xf numFmtId="0" fontId="19" fillId="0" borderId="71" xfId="69" applyBorder="1" applyAlignment="1">
      <alignment horizontal="center"/>
      <protection/>
    </xf>
    <xf numFmtId="0" fontId="13" fillId="0" borderId="0" xfId="51" applyBorder="1">
      <alignment/>
      <protection/>
    </xf>
    <xf numFmtId="0" fontId="13" fillId="0" borderId="0" xfId="51" applyBorder="1" applyAlignment="1">
      <alignment horizontal="center"/>
      <protection/>
    </xf>
    <xf numFmtId="0" fontId="21" fillId="2" borderId="0" xfId="51" applyFont="1" applyFill="1" applyBorder="1" applyAlignment="1">
      <alignment horizontal="center" vertical="center" wrapText="1"/>
      <protection/>
    </xf>
    <xf numFmtId="0" fontId="25" fillId="18" borderId="0" xfId="51" applyFont="1" applyFill="1" applyBorder="1" applyAlignment="1">
      <alignment horizontal="left" vertical="center" wrapText="1"/>
      <protection/>
    </xf>
    <xf numFmtId="0" fontId="13" fillId="18" borderId="0" xfId="51" applyFill="1" applyBorder="1" applyAlignment="1">
      <alignment wrapText="1"/>
      <protection/>
    </xf>
    <xf numFmtId="0" fontId="35" fillId="18" borderId="0" xfId="51" applyFont="1" applyFill="1" applyBorder="1" applyAlignment="1">
      <alignment wrapText="1"/>
      <protection/>
    </xf>
    <xf numFmtId="0" fontId="33" fillId="0" borderId="21" xfId="51" applyFont="1" applyBorder="1" applyAlignment="1">
      <alignment horizontal="center" vertical="center" wrapText="1"/>
      <protection/>
    </xf>
    <xf numFmtId="0" fontId="37" fillId="18" borderId="0" xfId="51" applyFont="1" applyFill="1" applyBorder="1" applyAlignment="1">
      <alignment horizontal="left" vertical="center" wrapText="1"/>
      <protection/>
    </xf>
    <xf numFmtId="0" fontId="38" fillId="0" borderId="0" xfId="51" applyFont="1" applyBorder="1" applyAlignment="1">
      <alignment horizontal="left" vertical="top" wrapText="1"/>
      <protection/>
    </xf>
    <xf numFmtId="0" fontId="25" fillId="18" borderId="72" xfId="51" applyFont="1" applyFill="1" applyBorder="1" applyAlignment="1">
      <alignment horizontal="left" wrapText="1"/>
      <protection/>
    </xf>
    <xf numFmtId="0" fontId="35" fillId="18" borderId="73" xfId="51" applyFont="1" applyFill="1" applyBorder="1" applyAlignment="1">
      <alignment wrapText="1"/>
      <protection/>
    </xf>
    <xf numFmtId="0" fontId="35" fillId="18" borderId="10" xfId="51" applyFont="1" applyFill="1" applyBorder="1" applyAlignment="1">
      <alignment wrapText="1"/>
      <protection/>
    </xf>
    <xf numFmtId="0" fontId="32" fillId="0" borderId="12" xfId="51" applyFont="1" applyBorder="1" applyAlignment="1">
      <alignment horizontal="center"/>
      <protection/>
    </xf>
    <xf numFmtId="0" fontId="21" fillId="14" borderId="0" xfId="51" applyFont="1" applyFill="1" applyBorder="1" applyAlignment="1">
      <alignment horizontal="center" vertical="center" wrapText="1"/>
      <protection/>
    </xf>
    <xf numFmtId="0" fontId="28" fillId="18" borderId="0" xfId="51" applyFont="1" applyFill="1" applyBorder="1" applyAlignment="1">
      <alignment horizontal="center" vertical="center" wrapText="1"/>
      <protection/>
    </xf>
    <xf numFmtId="0" fontId="40" fillId="18" borderId="0" xfId="51" applyFont="1" applyFill="1" applyBorder="1" applyAlignment="1">
      <alignment horizontal="left" wrapText="1"/>
      <protection/>
    </xf>
    <xf numFmtId="0" fontId="19" fillId="0" borderId="0" xfId="69" applyFont="1" applyBorder="1">
      <alignment/>
      <protection/>
    </xf>
    <xf numFmtId="0" fontId="33" fillId="0" borderId="13" xfId="51" applyFont="1" applyBorder="1" applyAlignment="1">
      <alignment horizontal="center"/>
      <protection/>
    </xf>
    <xf numFmtId="0" fontId="33" fillId="14" borderId="11" xfId="51" applyNumberFormat="1" applyFont="1" applyFill="1" applyBorder="1" applyAlignment="1">
      <alignment horizontal="center" vertical="center" wrapText="1"/>
      <protection/>
    </xf>
    <xf numFmtId="0" fontId="33" fillId="0" borderId="11" xfId="51" applyFont="1" applyBorder="1" applyAlignment="1">
      <alignment horizontal="center" wrapText="1"/>
      <protection/>
    </xf>
    <xf numFmtId="0" fontId="33" fillId="0" borderId="13" xfId="51" applyFont="1" applyFill="1" applyBorder="1" applyAlignment="1">
      <alignment horizontal="center"/>
      <protection/>
    </xf>
    <xf numFmtId="0" fontId="32" fillId="0" borderId="17" xfId="51" applyFont="1" applyBorder="1" applyAlignment="1">
      <alignment horizontal="center"/>
      <protection/>
    </xf>
    <xf numFmtId="0" fontId="32" fillId="0" borderId="13" xfId="51" applyFont="1" applyBorder="1" applyAlignment="1">
      <alignment horizontal="center"/>
      <protection/>
    </xf>
    <xf numFmtId="0" fontId="32" fillId="0" borderId="16" xfId="51" applyFont="1" applyBorder="1" applyAlignment="1">
      <alignment horizontal="center"/>
      <protection/>
    </xf>
    <xf numFmtId="0" fontId="41" fillId="0" borderId="11" xfId="51" applyFont="1" applyBorder="1" applyAlignment="1">
      <alignment horizontal="left"/>
      <protection/>
    </xf>
    <xf numFmtId="0" fontId="33" fillId="0" borderId="15" xfId="51" applyFont="1" applyBorder="1" applyAlignment="1">
      <alignment horizontal="center" wrapText="1"/>
      <protection/>
    </xf>
    <xf numFmtId="0" fontId="32" fillId="0" borderId="13" xfId="51" applyFont="1" applyFill="1" applyBorder="1" applyAlignment="1">
      <alignment horizontal="center"/>
      <protection/>
    </xf>
    <xf numFmtId="0" fontId="32" fillId="0" borderId="13" xfId="51" applyFont="1" applyBorder="1" applyAlignment="1">
      <alignment horizontal="center"/>
      <protection/>
    </xf>
    <xf numFmtId="0" fontId="32" fillId="0" borderId="16" xfId="51" applyFont="1" applyFill="1" applyBorder="1" applyAlignment="1">
      <alignment horizontal="center"/>
      <protection/>
    </xf>
    <xf numFmtId="0" fontId="32" fillId="0" borderId="13" xfId="51" applyFont="1" applyFill="1" applyBorder="1" applyAlignment="1">
      <alignment horizontal="center"/>
      <protection/>
    </xf>
    <xf numFmtId="0" fontId="32" fillId="0" borderId="17" xfId="51" applyFont="1" applyBorder="1" applyAlignment="1">
      <alignment horizontal="center"/>
      <protection/>
    </xf>
    <xf numFmtId="0" fontId="33" fillId="0" borderId="15" xfId="51" applyFont="1" applyBorder="1" applyAlignment="1">
      <alignment horizontal="center" vertical="center" wrapText="1"/>
      <protection/>
    </xf>
    <xf numFmtId="0" fontId="33" fillId="14" borderId="22" xfId="51" applyFont="1" applyFill="1" applyBorder="1" applyAlignment="1">
      <alignment horizontal="center" vertical="center" wrapText="1"/>
      <protection/>
    </xf>
    <xf numFmtId="0" fontId="33" fillId="0" borderId="11" xfId="51" applyFont="1" applyBorder="1" applyAlignment="1">
      <alignment horizontal="center"/>
      <protection/>
    </xf>
    <xf numFmtId="0" fontId="32" fillId="18" borderId="15" xfId="51" applyFont="1" applyFill="1" applyBorder="1" applyAlignment="1">
      <alignment horizontal="center" vertical="center"/>
      <protection/>
    </xf>
    <xf numFmtId="0" fontId="13" fillId="18" borderId="24" xfId="51" applyFill="1" applyBorder="1" applyAlignment="1">
      <alignment horizontal="center" vertical="center"/>
      <protection/>
    </xf>
    <xf numFmtId="0" fontId="32" fillId="0" borderId="13" xfId="51" applyFont="1" applyBorder="1" applyAlignment="1">
      <alignment horizontal="center" wrapText="1"/>
      <protection/>
    </xf>
    <xf numFmtId="2" fontId="32" fillId="0" borderId="13" xfId="51" applyNumberFormat="1" applyFont="1" applyBorder="1" applyAlignment="1">
      <alignment horizontal="center"/>
      <protection/>
    </xf>
    <xf numFmtId="2" fontId="32" fillId="0" borderId="16" xfId="51" applyNumberFormat="1" applyFont="1" applyBorder="1" applyAlignment="1">
      <alignment horizontal="center"/>
      <protection/>
    </xf>
    <xf numFmtId="0" fontId="32" fillId="0" borderId="17" xfId="51" applyFont="1" applyBorder="1" applyAlignment="1">
      <alignment horizontal="center" wrapText="1"/>
      <protection/>
    </xf>
    <xf numFmtId="2" fontId="32" fillId="0" borderId="17" xfId="51" applyNumberFormat="1" applyFont="1" applyBorder="1" applyAlignment="1">
      <alignment horizontal="center"/>
      <protection/>
    </xf>
    <xf numFmtId="0" fontId="32" fillId="0" borderId="16" xfId="51" applyFont="1" applyBorder="1" applyAlignment="1">
      <alignment horizontal="center" wrapText="1"/>
      <protection/>
    </xf>
    <xf numFmtId="0" fontId="42" fillId="0" borderId="0" xfId="51" applyFont="1" applyBorder="1" applyAlignment="1">
      <alignment horizontal="left" vertical="top" wrapText="1"/>
      <protection/>
    </xf>
    <xf numFmtId="0" fontId="32" fillId="18" borderId="74" xfId="51" applyFont="1" applyFill="1" applyBorder="1" applyAlignment="1">
      <alignment horizontal="center" vertical="center"/>
      <protection/>
    </xf>
    <xf numFmtId="0" fontId="13" fillId="18" borderId="23" xfId="51" applyFill="1" applyBorder="1" applyAlignment="1">
      <alignment/>
      <protection/>
    </xf>
    <xf numFmtId="0" fontId="32" fillId="0" borderId="12" xfId="51" applyFont="1" applyBorder="1" applyAlignment="1">
      <alignment horizontal="center" wrapText="1"/>
      <protection/>
    </xf>
    <xf numFmtId="0" fontId="44" fillId="18" borderId="0" xfId="51" applyFont="1" applyFill="1" applyBorder="1" applyAlignment="1">
      <alignment horizontal="left" vertical="center" wrapText="1"/>
      <protection/>
    </xf>
    <xf numFmtId="0" fontId="21" fillId="18" borderId="0" xfId="51" applyFont="1" applyFill="1" applyBorder="1" applyAlignment="1">
      <alignment horizontal="center" vertical="center" wrapText="1"/>
      <protection/>
    </xf>
    <xf numFmtId="0" fontId="33" fillId="0" borderId="74" xfId="51" applyFont="1" applyBorder="1" applyAlignment="1">
      <alignment horizontal="center" wrapText="1"/>
      <protection/>
    </xf>
    <xf numFmtId="0" fontId="19" fillId="0" borderId="22" xfId="69" applyNumberFormat="1" applyFont="1" applyFill="1" applyBorder="1" applyAlignment="1" applyProtection="1">
      <alignment horizontal="center" vertical="center"/>
      <protection/>
    </xf>
    <xf numFmtId="0" fontId="33" fillId="14" borderId="11" xfId="51" applyFont="1" applyFill="1" applyBorder="1" applyAlignment="1">
      <alignment horizontal="center" vertical="center" wrapText="1"/>
      <protection/>
    </xf>
    <xf numFmtId="0" fontId="40" fillId="18" borderId="0" xfId="51" applyFont="1" applyFill="1" applyBorder="1" applyAlignment="1">
      <alignment horizontal="left" vertical="center" wrapText="1"/>
      <protection/>
    </xf>
    <xf numFmtId="0" fontId="13" fillId="18" borderId="0" xfId="51" applyFill="1" applyBorder="1">
      <alignment/>
      <protection/>
    </xf>
    <xf numFmtId="0" fontId="47" fillId="14" borderId="0" xfId="51" applyFont="1" applyFill="1" applyBorder="1" applyAlignment="1">
      <alignment horizontal="center" vertical="center" wrapText="1"/>
      <protection/>
    </xf>
    <xf numFmtId="0" fontId="48" fillId="18" borderId="0" xfId="51" applyFont="1" applyFill="1" applyBorder="1" applyAlignment="1">
      <alignment horizontal="left" wrapText="1"/>
      <protection/>
    </xf>
    <xf numFmtId="0" fontId="33" fillId="18" borderId="66" xfId="51" applyFont="1" applyFill="1" applyBorder="1" applyAlignment="1">
      <alignment horizontal="center" wrapText="1"/>
      <protection/>
    </xf>
    <xf numFmtId="0" fontId="19" fillId="18" borderId="11" xfId="69" applyNumberFormat="1" applyFont="1" applyFill="1" applyBorder="1" applyAlignment="1" applyProtection="1">
      <alignment horizontal="center" vertical="center" wrapText="1"/>
      <protection/>
    </xf>
    <xf numFmtId="0" fontId="33" fillId="18" borderId="21" xfId="51" applyFont="1" applyFill="1" applyBorder="1" applyAlignment="1">
      <alignment horizontal="center" wrapText="1"/>
      <protection/>
    </xf>
    <xf numFmtId="0" fontId="32" fillId="18" borderId="35" xfId="51" applyFont="1" applyFill="1" applyBorder="1" applyAlignment="1">
      <alignment horizontal="center"/>
      <protection/>
    </xf>
    <xf numFmtId="0" fontId="32" fillId="18" borderId="75" xfId="51" applyFont="1" applyFill="1" applyBorder="1" applyAlignment="1">
      <alignment horizontal="center"/>
      <protection/>
    </xf>
    <xf numFmtId="0" fontId="32" fillId="18" borderId="74" xfId="51" applyFont="1" applyFill="1" applyBorder="1" applyAlignment="1">
      <alignment horizontal="center"/>
      <protection/>
    </xf>
    <xf numFmtId="0" fontId="32" fillId="18" borderId="22" xfId="51" applyFont="1" applyFill="1" applyBorder="1" applyAlignment="1">
      <alignment horizontal="center"/>
      <protection/>
    </xf>
    <xf numFmtId="4" fontId="32" fillId="0" borderId="13" xfId="51" applyNumberFormat="1" applyFont="1" applyBorder="1" applyAlignment="1">
      <alignment horizontal="center"/>
      <protection/>
    </xf>
    <xf numFmtId="4" fontId="32" fillId="0" borderId="16" xfId="51" applyNumberFormat="1" applyFont="1" applyBorder="1" applyAlignment="1">
      <alignment horizontal="center"/>
      <protection/>
    </xf>
    <xf numFmtId="4" fontId="32" fillId="0" borderId="14" xfId="51" applyNumberFormat="1" applyFont="1" applyBorder="1" applyAlignment="1">
      <alignment horizontal="center"/>
      <protection/>
    </xf>
    <xf numFmtId="0" fontId="25" fillId="18" borderId="0" xfId="51" applyFont="1" applyFill="1" applyBorder="1" applyAlignment="1">
      <alignment vertical="center" wrapText="1"/>
      <protection/>
    </xf>
    <xf numFmtId="0" fontId="19" fillId="18" borderId="0" xfId="69" applyFont="1" applyFill="1" applyBorder="1">
      <alignment/>
      <protection/>
    </xf>
    <xf numFmtId="0" fontId="19" fillId="0" borderId="18" xfId="69" applyFont="1" applyBorder="1">
      <alignment/>
      <protection/>
    </xf>
    <xf numFmtId="0" fontId="32" fillId="14" borderId="11" xfId="51" applyFont="1" applyFill="1" applyBorder="1" applyAlignment="1">
      <alignment horizontal="center" vertical="center" wrapText="1"/>
      <protection/>
    </xf>
    <xf numFmtId="0" fontId="32" fillId="14" borderId="21" xfId="51" applyFont="1" applyFill="1" applyBorder="1" applyAlignment="1">
      <alignment horizontal="center" vertical="center" wrapText="1"/>
      <protection/>
    </xf>
    <xf numFmtId="0" fontId="32" fillId="14" borderId="22" xfId="51" applyFont="1" applyFill="1" applyBorder="1" applyAlignment="1">
      <alignment horizontal="center" vertical="center" wrapText="1"/>
      <protection/>
    </xf>
    <xf numFmtId="0" fontId="32" fillId="14" borderId="22" xfId="51" applyFont="1" applyFill="1" applyBorder="1" applyAlignment="1">
      <alignment horizontal="center" vertical="top" wrapText="1"/>
      <protection/>
    </xf>
    <xf numFmtId="0" fontId="32" fillId="0" borderId="75" xfId="51" applyFont="1" applyBorder="1" applyAlignment="1">
      <alignment vertical="top" wrapText="1"/>
      <protection/>
    </xf>
    <xf numFmtId="0" fontId="32" fillId="0" borderId="11" xfId="51" applyFont="1" applyBorder="1" applyAlignment="1">
      <alignment vertical="top" wrapText="1"/>
      <protection/>
    </xf>
    <xf numFmtId="0" fontId="49" fillId="14" borderId="11" xfId="51" applyFont="1" applyFill="1" applyBorder="1" applyAlignment="1">
      <alignment horizontal="center" wrapText="1"/>
      <protection/>
    </xf>
    <xf numFmtId="0" fontId="49" fillId="0" borderId="22" xfId="51" applyFont="1" applyBorder="1">
      <alignment/>
      <protection/>
    </xf>
    <xf numFmtId="0" fontId="49" fillId="0" borderId="22" xfId="51" applyFont="1" applyBorder="1" applyAlignment="1">
      <alignment horizontal="center" vertical="center"/>
      <protection/>
    </xf>
    <xf numFmtId="0" fontId="49" fillId="0" borderId="22" xfId="51" applyFont="1" applyBorder="1" applyAlignment="1">
      <alignment horizontal="center" vertical="center" wrapText="1"/>
      <protection/>
    </xf>
    <xf numFmtId="0" fontId="49" fillId="0" borderId="11" xfId="51" applyFont="1" applyBorder="1" applyAlignment="1">
      <alignment horizontal="center" vertical="center" wrapText="1"/>
      <protection/>
    </xf>
    <xf numFmtId="0" fontId="43" fillId="0" borderId="0" xfId="51" applyFont="1" applyBorder="1" applyAlignment="1">
      <alignment vertical="center"/>
      <protection/>
    </xf>
    <xf numFmtId="3" fontId="50" fillId="0" borderId="17" xfId="51" applyNumberFormat="1" applyFont="1" applyBorder="1" applyAlignment="1">
      <alignment horizontal="center"/>
      <protection/>
    </xf>
    <xf numFmtId="0" fontId="50" fillId="0" borderId="17" xfId="51" applyFont="1" applyBorder="1" applyAlignment="1">
      <alignment horizontal="center" vertical="center" wrapText="1"/>
      <protection/>
    </xf>
    <xf numFmtId="3" fontId="50" fillId="0" borderId="16" xfId="51" applyNumberFormat="1" applyFont="1" applyBorder="1" applyAlignment="1">
      <alignment horizontal="center"/>
      <protection/>
    </xf>
    <xf numFmtId="0" fontId="50" fillId="0" borderId="16" xfId="51" applyFont="1" applyBorder="1" applyAlignment="1">
      <alignment horizontal="center" vertical="center"/>
      <protection/>
    </xf>
    <xf numFmtId="0" fontId="25" fillId="18" borderId="0" xfId="51" applyFont="1" applyFill="1" applyBorder="1" applyAlignment="1">
      <alignment horizontal="center" vertical="center" wrapText="1"/>
      <protection/>
    </xf>
    <xf numFmtId="0" fontId="32" fillId="18" borderId="0" xfId="51" applyFont="1" applyFill="1" applyBorder="1" applyAlignment="1">
      <alignment horizontal="center"/>
      <protection/>
    </xf>
    <xf numFmtId="0" fontId="51" fillId="18" borderId="76" xfId="51" applyFont="1" applyFill="1" applyBorder="1" applyAlignment="1">
      <alignment horizontal="left" vertical="center" wrapText="1"/>
      <protection/>
    </xf>
    <xf numFmtId="0" fontId="52" fillId="0" borderId="0" xfId="51" applyFont="1" applyBorder="1" applyAlignment="1">
      <alignment horizontal="left" vertical="top" wrapText="1"/>
      <protection/>
    </xf>
    <xf numFmtId="0" fontId="33" fillId="0" borderId="11" xfId="51" applyFont="1" applyBorder="1" applyAlignment="1">
      <alignment horizontal="left" wrapText="1"/>
      <protection/>
    </xf>
    <xf numFmtId="0" fontId="32" fillId="0" borderId="22" xfId="51" applyFont="1" applyBorder="1" applyAlignment="1">
      <alignment horizontal="center" vertical="center" wrapText="1"/>
      <protection/>
    </xf>
    <xf numFmtId="0" fontId="33" fillId="0" borderId="11" xfId="51" applyFont="1" applyBorder="1" applyAlignment="1">
      <alignment horizontal="left"/>
      <protection/>
    </xf>
    <xf numFmtId="0" fontId="32" fillId="0" borderId="21" xfId="51" applyFont="1" applyBorder="1" applyAlignment="1">
      <alignment horizontal="center" vertical="center" wrapText="1"/>
      <protection/>
    </xf>
    <xf numFmtId="0" fontId="19" fillId="0" borderId="11" xfId="69" applyFont="1" applyBorder="1" applyAlignment="1">
      <alignment horizontal="center"/>
      <protection/>
    </xf>
    <xf numFmtId="0" fontId="33" fillId="0" borderId="15" xfId="51" applyFont="1" applyBorder="1" applyAlignment="1">
      <alignment wrapText="1"/>
      <protection/>
    </xf>
    <xf numFmtId="0" fontId="32" fillId="0" borderId="11" xfId="51" applyFont="1" applyBorder="1" applyAlignment="1">
      <alignment horizontal="center" vertical="center" wrapText="1"/>
      <protection/>
    </xf>
    <xf numFmtId="0" fontId="51" fillId="18" borderId="21" xfId="51" applyFont="1" applyFill="1" applyBorder="1" applyAlignment="1">
      <alignment horizontal="left" vertical="center" wrapText="1"/>
      <protection/>
    </xf>
    <xf numFmtId="0" fontId="51" fillId="18" borderId="75" xfId="51" applyFont="1" applyFill="1" applyBorder="1" applyAlignment="1">
      <alignment horizontal="left" vertical="center" wrapText="1"/>
      <protection/>
    </xf>
    <xf numFmtId="0" fontId="51" fillId="18" borderId="22" xfId="51" applyFont="1" applyFill="1" applyBorder="1" applyAlignment="1">
      <alignment horizontal="left" vertical="center" wrapText="1"/>
      <protection/>
    </xf>
    <xf numFmtId="0" fontId="19" fillId="18" borderId="0" xfId="69" applyNumberFormat="1" applyFont="1" applyFill="1" applyBorder="1" applyAlignment="1" applyProtection="1">
      <alignment horizontal="left" wrapText="1"/>
      <protection/>
    </xf>
    <xf numFmtId="0" fontId="33" fillId="14" borderId="21" xfId="51" applyFont="1" applyFill="1" applyBorder="1" applyAlignment="1">
      <alignment horizontal="center" vertical="center" wrapText="1"/>
      <protection/>
    </xf>
    <xf numFmtId="4" fontId="32" fillId="0" borderId="17" xfId="51" applyNumberFormat="1" applyFont="1" applyBorder="1" applyAlignment="1">
      <alignment horizontal="center"/>
      <protection/>
    </xf>
    <xf numFmtId="0" fontId="47" fillId="2" borderId="0" xfId="51" applyFont="1" applyFill="1" applyBorder="1" applyAlignment="1">
      <alignment horizontal="center" vertical="center" wrapText="1"/>
      <protection/>
    </xf>
    <xf numFmtId="0" fontId="47" fillId="18" borderId="0" xfId="51" applyFont="1" applyFill="1" applyBorder="1" applyAlignment="1">
      <alignment horizontal="left" vertical="center" wrapText="1"/>
      <protection/>
    </xf>
    <xf numFmtId="0" fontId="19" fillId="18" borderId="10" xfId="69" applyNumberFormat="1" applyFont="1" applyFill="1" applyBorder="1" applyAlignment="1" applyProtection="1">
      <alignment/>
      <protection/>
    </xf>
    <xf numFmtId="0" fontId="33" fillId="0" borderId="75" xfId="51" applyFont="1" applyBorder="1" applyAlignment="1">
      <alignment horizontal="left" wrapText="1"/>
      <protection/>
    </xf>
    <xf numFmtId="0" fontId="55" fillId="0" borderId="75" xfId="69" applyNumberFormat="1" applyFont="1" applyFill="1" applyBorder="1" applyAlignment="1" applyProtection="1">
      <alignment horizontal="center" vertical="center"/>
      <protection/>
    </xf>
    <xf numFmtId="0" fontId="33" fillId="0" borderId="75" xfId="51" applyFont="1" applyBorder="1" applyAlignment="1">
      <alignment horizontal="left"/>
      <protection/>
    </xf>
    <xf numFmtId="0" fontId="32" fillId="0" borderId="15" xfId="51" applyFont="1" applyBorder="1" applyAlignment="1">
      <alignment horizontal="center" vertical="center" wrapText="1"/>
      <protection/>
    </xf>
    <xf numFmtId="2" fontId="32" fillId="0" borderId="30" xfId="51" applyNumberFormat="1" applyFont="1" applyBorder="1" applyAlignment="1">
      <alignment horizontal="center"/>
      <protection/>
    </xf>
    <xf numFmtId="0" fontId="33" fillId="0" borderId="11" xfId="51" applyFont="1" applyBorder="1" applyAlignment="1">
      <alignment horizontal="center" vertical="center" wrapText="1"/>
      <protection/>
    </xf>
    <xf numFmtId="0" fontId="33" fillId="14" borderId="74" xfId="51" applyFont="1" applyFill="1" applyBorder="1" applyAlignment="1">
      <alignment horizontal="center" vertical="center" wrapText="1"/>
      <protection/>
    </xf>
    <xf numFmtId="0" fontId="43" fillId="0" borderId="0" xfId="51" applyFont="1" applyBorder="1" applyAlignment="1">
      <alignment horizontal="left" vertical="top" wrapText="1"/>
      <protection/>
    </xf>
    <xf numFmtId="2" fontId="33" fillId="0" borderId="13" xfId="51" applyNumberFormat="1" applyFont="1" applyBorder="1" applyAlignment="1">
      <alignment horizontal="center"/>
      <protection/>
    </xf>
    <xf numFmtId="2" fontId="32" fillId="0" borderId="32" xfId="51" applyNumberFormat="1" applyFont="1" applyBorder="1" applyAlignment="1">
      <alignment horizontal="center"/>
      <protection/>
    </xf>
    <xf numFmtId="0" fontId="25" fillId="18" borderId="18" xfId="51" applyFont="1" applyFill="1" applyBorder="1" applyAlignment="1">
      <alignment horizontal="center" vertical="center" wrapText="1"/>
      <protection/>
    </xf>
    <xf numFmtId="0" fontId="33" fillId="0" borderId="31" xfId="51" applyFont="1" applyBorder="1" applyAlignment="1">
      <alignment horizontal="left" vertical="center"/>
      <protection/>
    </xf>
    <xf numFmtId="0" fontId="33" fillId="0" borderId="21" xfId="51" applyFont="1" applyBorder="1" applyAlignment="1">
      <alignment horizontal="center" vertical="center"/>
      <protection/>
    </xf>
    <xf numFmtId="0" fontId="50" fillId="14" borderId="11" xfId="51" applyFont="1" applyFill="1" applyBorder="1" applyAlignment="1">
      <alignment horizontal="center" vertical="center" wrapText="1"/>
      <protection/>
    </xf>
    <xf numFmtId="0" fontId="33" fillId="0" borderId="15" xfId="51" applyNumberFormat="1" applyFont="1" applyBorder="1" applyAlignment="1">
      <alignment horizontal="left" vertical="center"/>
      <protection/>
    </xf>
    <xf numFmtId="0" fontId="33" fillId="0" borderId="11" xfId="51" applyFont="1" applyBorder="1" applyAlignment="1">
      <alignment horizontal="center" vertical="center"/>
      <protection/>
    </xf>
    <xf numFmtId="0" fontId="33" fillId="0" borderId="77" xfId="0" applyFont="1" applyBorder="1" applyAlignment="1">
      <alignment horizontal="left" vertical="center" wrapText="1"/>
    </xf>
    <xf numFmtId="0" fontId="33" fillId="18" borderId="15" xfId="51" applyFont="1" applyFill="1" applyBorder="1" applyAlignment="1">
      <alignment horizontal="left" vertical="center"/>
      <protection/>
    </xf>
    <xf numFmtId="0" fontId="33" fillId="18" borderId="11" xfId="51" applyFont="1" applyFill="1" applyBorder="1" applyAlignment="1">
      <alignment horizontal="center" vertical="center"/>
      <protection/>
    </xf>
    <xf numFmtId="0" fontId="43" fillId="18" borderId="0" xfId="51" applyFont="1" applyFill="1" applyBorder="1" applyAlignment="1">
      <alignment horizontal="left" vertical="top" wrapText="1"/>
      <protection/>
    </xf>
    <xf numFmtId="0" fontId="33" fillId="18" borderId="11" xfId="51" applyFont="1" applyFill="1" applyBorder="1" applyAlignment="1">
      <alignment vertical="center"/>
      <protection/>
    </xf>
    <xf numFmtId="0" fontId="58" fillId="0" borderId="0" xfId="51" applyFont="1" applyFill="1" applyBorder="1" applyAlignment="1">
      <alignment horizontal="left"/>
      <protection/>
    </xf>
    <xf numFmtId="0" fontId="13" fillId="0" borderId="11" xfId="51" applyBorder="1" applyAlignment="1">
      <alignment/>
      <protection/>
    </xf>
    <xf numFmtId="0" fontId="33" fillId="0" borderId="11" xfId="51" applyFont="1" applyFill="1" applyBorder="1" applyAlignment="1">
      <alignment horizontal="left" vertical="center"/>
      <protection/>
    </xf>
    <xf numFmtId="0" fontId="13" fillId="0" borderId="22" xfId="51" applyBorder="1" applyAlignment="1">
      <alignment/>
      <protection/>
    </xf>
    <xf numFmtId="0" fontId="30" fillId="18" borderId="0" xfId="0" applyFont="1" applyFill="1" applyBorder="1" applyAlignment="1">
      <alignment horizontal="left" vertical="top" wrapText="1"/>
    </xf>
    <xf numFmtId="0" fontId="61" fillId="18" borderId="0" xfId="51" applyFont="1" applyFill="1" applyBorder="1" applyAlignment="1">
      <alignment horizontal="left" wrapText="1"/>
      <protection/>
    </xf>
    <xf numFmtId="0" fontId="30" fillId="14" borderId="11" xfId="85" applyFont="1" applyFill="1" applyBorder="1" applyAlignment="1">
      <alignment horizontal="center" vertical="center"/>
      <protection/>
    </xf>
    <xf numFmtId="0" fontId="28" fillId="18" borderId="0" xfId="85" applyFont="1" applyFill="1" applyBorder="1" applyAlignment="1">
      <alignment/>
      <protection/>
    </xf>
    <xf numFmtId="0" fontId="28" fillId="0" borderId="0" xfId="51" applyFont="1" applyBorder="1" applyAlignment="1">
      <alignment horizontal="center"/>
      <protection/>
    </xf>
    <xf numFmtId="0" fontId="67" fillId="18" borderId="78" xfId="51" applyFont="1" applyFill="1" applyBorder="1" applyAlignment="1">
      <alignment horizontal="center"/>
      <protection/>
    </xf>
    <xf numFmtId="0" fontId="67" fillId="18" borderId="79" xfId="51" applyFont="1" applyFill="1" applyBorder="1" applyAlignment="1">
      <alignment horizontal="center"/>
      <protection/>
    </xf>
    <xf numFmtId="0" fontId="67" fillId="18" borderId="44" xfId="51" applyFont="1" applyFill="1" applyBorder="1" applyAlignment="1">
      <alignment horizontal="center"/>
      <protection/>
    </xf>
    <xf numFmtId="0" fontId="13" fillId="18" borderId="39" xfId="51" applyFill="1" applyBorder="1" applyAlignment="1">
      <alignment/>
      <protection/>
    </xf>
    <xf numFmtId="0" fontId="22" fillId="0" borderId="39" xfId="51" applyFont="1" applyFill="1" applyBorder="1" applyAlignment="1">
      <alignment horizontal="center" vertical="center"/>
      <protection/>
    </xf>
    <xf numFmtId="0" fontId="0" fillId="18" borderId="46" xfId="51" applyFont="1" applyFill="1" applyBorder="1" applyAlignment="1">
      <alignment horizontal="left" vertical="top" wrapText="1"/>
      <protection/>
    </xf>
    <xf numFmtId="0" fontId="19" fillId="18" borderId="46" xfId="69" applyNumberFormat="1" applyFill="1" applyBorder="1" applyAlignment="1" applyProtection="1">
      <alignment horizontal="center" vertical="center" wrapText="1"/>
      <protection/>
    </xf>
    <xf numFmtId="0" fontId="50" fillId="14" borderId="22" xfId="51" applyFont="1" applyFill="1" applyBorder="1" applyAlignment="1">
      <alignment horizontal="center" vertical="center" wrapText="1"/>
      <protection/>
    </xf>
    <xf numFmtId="0" fontId="50" fillId="14" borderId="75" xfId="51" applyFont="1" applyFill="1" applyBorder="1" applyAlignment="1">
      <alignment horizontal="center" vertical="center" wrapText="1"/>
      <protection/>
    </xf>
    <xf numFmtId="0" fontId="50" fillId="14" borderId="23" xfId="51" applyFont="1" applyFill="1" applyBorder="1" applyAlignment="1">
      <alignment horizontal="center" vertical="center" wrapText="1"/>
      <protection/>
    </xf>
    <xf numFmtId="0" fontId="13" fillId="0" borderId="80" xfId="51" applyBorder="1" applyAlignment="1">
      <alignment horizontal="center"/>
      <protection/>
    </xf>
    <xf numFmtId="0" fontId="13" fillId="0" borderId="81" xfId="51" applyBorder="1" applyAlignment="1">
      <alignment horizontal="center"/>
      <protection/>
    </xf>
    <xf numFmtId="0" fontId="13" fillId="0" borderId="82" xfId="51" applyBorder="1" applyAlignment="1">
      <alignment horizontal="center"/>
      <protection/>
    </xf>
    <xf numFmtId="0" fontId="13" fillId="0" borderId="83" xfId="51" applyBorder="1" applyAlignment="1">
      <alignment horizontal="center"/>
      <protection/>
    </xf>
    <xf numFmtId="0" fontId="13" fillId="0" borderId="84" xfId="51" applyBorder="1" applyAlignment="1">
      <alignment horizontal="center"/>
      <protection/>
    </xf>
    <xf numFmtId="0" fontId="13" fillId="0" borderId="83" xfId="51" applyBorder="1" applyAlignment="1">
      <alignment/>
      <protection/>
    </xf>
    <xf numFmtId="0" fontId="13" fillId="0" borderId="84" xfId="51" applyBorder="1" applyAlignment="1">
      <alignment/>
      <protection/>
    </xf>
    <xf numFmtId="0" fontId="47" fillId="14" borderId="83" xfId="51" applyFont="1" applyFill="1" applyBorder="1" applyAlignment="1">
      <alignment horizontal="center" vertical="center" wrapText="1"/>
      <protection/>
    </xf>
    <xf numFmtId="0" fontId="47" fillId="14" borderId="84" xfId="51" applyFont="1" applyFill="1" applyBorder="1" applyAlignment="1">
      <alignment horizontal="center" vertical="center" wrapText="1"/>
      <protection/>
    </xf>
    <xf numFmtId="0" fontId="44" fillId="18" borderId="83" xfId="51" applyFont="1" applyFill="1" applyBorder="1" applyAlignment="1">
      <alignment horizontal="left" vertical="center" wrapText="1"/>
      <protection/>
    </xf>
    <xf numFmtId="0" fontId="25" fillId="18" borderId="85" xfId="51" applyFont="1" applyFill="1" applyBorder="1" applyAlignment="1">
      <alignment horizontal="center" vertical="center" wrapText="1"/>
      <protection/>
    </xf>
    <xf numFmtId="0" fontId="37" fillId="18" borderId="83" xfId="51" applyFont="1" applyFill="1" applyBorder="1" applyAlignment="1">
      <alignment horizontal="left" vertical="center" wrapText="1"/>
      <protection/>
    </xf>
    <xf numFmtId="0" fontId="40" fillId="18" borderId="83" xfId="51" applyFont="1" applyFill="1" applyBorder="1" applyAlignment="1">
      <alignment horizontal="left" wrapText="1"/>
      <protection/>
    </xf>
    <xf numFmtId="0" fontId="19" fillId="0" borderId="86" xfId="69" applyFont="1" applyBorder="1">
      <alignment/>
      <protection/>
    </xf>
    <xf numFmtId="0" fontId="19" fillId="0" borderId="87" xfId="69" applyFont="1" applyBorder="1">
      <alignment/>
      <protection/>
    </xf>
    <xf numFmtId="0" fontId="25" fillId="18" borderId="87" xfId="51" applyFont="1" applyFill="1" applyBorder="1" applyAlignment="1">
      <alignment horizontal="center" vertical="center" wrapText="1"/>
      <protection/>
    </xf>
    <xf numFmtId="0" fontId="25" fillId="18" borderId="88" xfId="51" applyFont="1" applyFill="1" applyBorder="1" applyAlignment="1">
      <alignment horizontal="center" vertical="center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_Прайс_промышленные_пластики_05-2012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6666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595959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hyperlink" Target="http://www.plastics.ua/industrial" TargetMode="External" /><Relationship Id="rId11" Type="http://schemas.openxmlformats.org/officeDocument/2006/relationships/image" Target="../media/image10.jpeg" /><Relationship Id="rId12" Type="http://schemas.openxmlformats.org/officeDocument/2006/relationships/hyperlink" Target="#&#1050;&#1086;&#1085;&#1090;&#1072;&#1082;&#1090;&#1099;!A1" /><Relationship Id="rId13" Type="http://schemas.openxmlformats.org/officeDocument/2006/relationships/image" Target="../media/image11.pn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32.png" /><Relationship Id="rId3" Type="http://schemas.openxmlformats.org/officeDocument/2006/relationships/hyperlink" Target="http://www.plastics.ua/industrial" TargetMode="External" /><Relationship Id="rId4" Type="http://schemas.openxmlformats.org/officeDocument/2006/relationships/image" Target="../media/image33.jpeg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11.pn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industrial" TargetMode="External" /><Relationship Id="rId2" Type="http://schemas.openxmlformats.org/officeDocument/2006/relationships/image" Target="../media/image22.png" /><Relationship Id="rId3" Type="http://schemas.openxmlformats.org/officeDocument/2006/relationships/image" Target="../media/image34.jpeg" /><Relationship Id="rId4" Type="http://schemas.openxmlformats.org/officeDocument/2006/relationships/hyperlink" Target="#&#1050;&#1086;&#1085;&#1090;&#1072;&#1082;&#1090;&#1099;!A1" /><Relationship Id="rId5" Type="http://schemas.openxmlformats.org/officeDocument/2006/relationships/image" Target="../media/image11.pn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35.jpeg" /><Relationship Id="rId3" Type="http://schemas.openxmlformats.org/officeDocument/2006/relationships/hyperlink" Target="http://www.plastics.ua/industrial" TargetMode="External" /><Relationship Id="rId4" Type="http://schemas.openxmlformats.org/officeDocument/2006/relationships/image" Target="../media/image23.png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11.pn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Relationship Id="rId3" Type="http://schemas.openxmlformats.org/officeDocument/2006/relationships/image" Target="../media/image38.png" /><Relationship Id="rId4" Type="http://schemas.openxmlformats.org/officeDocument/2006/relationships/hyperlink" Target="http://www.plastics.ua/industrial" TargetMode="External" /><Relationship Id="rId5" Type="http://schemas.openxmlformats.org/officeDocument/2006/relationships/image" Target="../media/image39.jpeg" /><Relationship Id="rId6" Type="http://schemas.openxmlformats.org/officeDocument/2006/relationships/hyperlink" Target="#&#1050;&#1086;&#1085;&#1090;&#1072;&#1082;&#1090;&#1099;!A1" /><Relationship Id="rId7" Type="http://schemas.openxmlformats.org/officeDocument/2006/relationships/image" Target="../media/image11.pn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industrial" TargetMode="External" /><Relationship Id="rId2" Type="http://schemas.openxmlformats.org/officeDocument/2006/relationships/image" Target="../media/image40.emf" /><Relationship Id="rId3" Type="http://schemas.openxmlformats.org/officeDocument/2006/relationships/image" Target="../media/image41.jpeg" /><Relationship Id="rId4" Type="http://schemas.openxmlformats.org/officeDocument/2006/relationships/hyperlink" Target="#&#1050;&#1086;&#1085;&#1090;&#1072;&#1082;&#1090;&#1099;!A1" /><Relationship Id="rId5" Type="http://schemas.openxmlformats.org/officeDocument/2006/relationships/image" Target="../media/image11.pn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industrial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1.pn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hyperlink" Target="http://www.plastics.ua/industrial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1.png" /><Relationship Id="rId5" Type="http://schemas.openxmlformats.org/officeDocument/2006/relationships/image" Target="../media/image15.pn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6.jpeg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hyperlink" Target="http://www.plastics.ua/industrial" TargetMode="External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industrial" TargetMode="External" /><Relationship Id="rId2" Type="http://schemas.openxmlformats.org/officeDocument/2006/relationships/image" Target="../media/image17.jpeg" /><Relationship Id="rId3" Type="http://schemas.openxmlformats.org/officeDocument/2006/relationships/image" Target="../media/image18.emf" /><Relationship Id="rId4" Type="http://schemas.openxmlformats.org/officeDocument/2006/relationships/image" Target="../media/image19.jpeg" /><Relationship Id="rId5" Type="http://schemas.openxmlformats.org/officeDocument/2006/relationships/image" Target="../media/image20.jpeg" /><Relationship Id="rId6" Type="http://schemas.openxmlformats.org/officeDocument/2006/relationships/hyperlink" Target="#&#1050;&#1086;&#1085;&#1090;&#1072;&#1082;&#1090;&#1099;!A1" /><Relationship Id="rId7" Type="http://schemas.openxmlformats.org/officeDocument/2006/relationships/image" Target="../media/image11.pn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png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hyperlink" Target="http://www.plastics.ua/industrial" TargetMode="External" /><Relationship Id="rId7" Type="http://schemas.openxmlformats.org/officeDocument/2006/relationships/hyperlink" Target="#&#1050;&#1086;&#1085;&#1090;&#1072;&#1082;&#1090;&#1099;!A1" /><Relationship Id="rId8" Type="http://schemas.openxmlformats.org/officeDocument/2006/relationships/image" Target="../media/image11.pn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Relationship Id="rId3" Type="http://schemas.openxmlformats.org/officeDocument/2006/relationships/image" Target="../media/image26.jpeg" /><Relationship Id="rId4" Type="http://schemas.openxmlformats.org/officeDocument/2006/relationships/hyperlink" Target="http://www.plastics.ua/industrial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11.pn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hyperlink" Target="http://www.plastics.ua/industrial" TargetMode="External" /><Relationship Id="rId3" Type="http://schemas.openxmlformats.org/officeDocument/2006/relationships/image" Target="../media/image27.jpeg" /><Relationship Id="rId4" Type="http://schemas.openxmlformats.org/officeDocument/2006/relationships/hyperlink" Target="#&#1050;&#1086;&#1085;&#1090;&#1072;&#1082;&#1090;&#1099;!A1" /><Relationship Id="rId5" Type="http://schemas.openxmlformats.org/officeDocument/2006/relationships/image" Target="../media/image11.pn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9.png" /><Relationship Id="rId3" Type="http://schemas.openxmlformats.org/officeDocument/2006/relationships/image" Target="../media/image22.png" /><Relationship Id="rId4" Type="http://schemas.openxmlformats.org/officeDocument/2006/relationships/image" Target="../media/image30.png" /><Relationship Id="rId5" Type="http://schemas.openxmlformats.org/officeDocument/2006/relationships/hyperlink" Target="http://www.plastics.ua/industrial" TargetMode="External" /><Relationship Id="rId6" Type="http://schemas.openxmlformats.org/officeDocument/2006/relationships/image" Target="../media/image31.jpeg" /><Relationship Id="rId7" Type="http://schemas.openxmlformats.org/officeDocument/2006/relationships/hyperlink" Target="#&#1050;&#1086;&#1085;&#1090;&#1072;&#1082;&#1090;&#1099;!A1" /><Relationship Id="rId8" Type="http://schemas.openxmlformats.org/officeDocument/2006/relationships/image" Target="../media/image11.pn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32.png" /><Relationship Id="rId3" Type="http://schemas.openxmlformats.org/officeDocument/2006/relationships/hyperlink" Target="http://www.plastics.ua/industrial" TargetMode="External" /><Relationship Id="rId4" Type="http://schemas.openxmlformats.org/officeDocument/2006/relationships/hyperlink" Target="#&#1050;&#1086;&#1085;&#1090;&#1072;&#1082;&#1090;&#1099;!A1" /><Relationship Id="rId5" Type="http://schemas.openxmlformats.org/officeDocument/2006/relationships/image" Target="../media/image11.pn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190500</xdr:rowOff>
    </xdr:from>
    <xdr:to>
      <xdr:col>3</xdr:col>
      <xdr:colOff>1466850</xdr:colOff>
      <xdr:row>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2371725"/>
          <a:ext cx="10477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495300</xdr:colOff>
      <xdr:row>12</xdr:row>
      <xdr:rowOff>209550</xdr:rowOff>
    </xdr:from>
    <xdr:to>
      <xdr:col>3</xdr:col>
      <xdr:colOff>1352550</xdr:colOff>
      <xdr:row>12</xdr:row>
      <xdr:rowOff>1085850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124325"/>
          <a:ext cx="8572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514350</xdr:colOff>
      <xdr:row>13</xdr:row>
      <xdr:rowOff>38100</xdr:rowOff>
    </xdr:from>
    <xdr:to>
      <xdr:col>3</xdr:col>
      <xdr:colOff>1438275</xdr:colOff>
      <xdr:row>14</xdr:row>
      <xdr:rowOff>457200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5181600"/>
          <a:ext cx="9239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495300</xdr:colOff>
      <xdr:row>15</xdr:row>
      <xdr:rowOff>47625</xdr:rowOff>
    </xdr:from>
    <xdr:to>
      <xdr:col>3</xdr:col>
      <xdr:colOff>1419225</xdr:colOff>
      <xdr:row>18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6191250"/>
          <a:ext cx="923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485775</xdr:colOff>
      <xdr:row>18</xdr:row>
      <xdr:rowOff>104775</xdr:rowOff>
    </xdr:from>
    <xdr:to>
      <xdr:col>3</xdr:col>
      <xdr:colOff>1419225</xdr:colOff>
      <xdr:row>21</xdr:row>
      <xdr:rowOff>66675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6991350"/>
          <a:ext cx="9334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428625</xdr:colOff>
      <xdr:row>22</xdr:row>
      <xdr:rowOff>114300</xdr:rowOff>
    </xdr:from>
    <xdr:to>
      <xdr:col>3</xdr:col>
      <xdr:colOff>1657350</xdr:colOff>
      <xdr:row>26</xdr:row>
      <xdr:rowOff>9525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9825" y="7991475"/>
          <a:ext cx="12287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619125</xdr:colOff>
      <xdr:row>27</xdr:row>
      <xdr:rowOff>57150</xdr:rowOff>
    </xdr:from>
    <xdr:to>
      <xdr:col>3</xdr:col>
      <xdr:colOff>1343025</xdr:colOff>
      <xdr:row>27</xdr:row>
      <xdr:rowOff>981075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0325" y="9172575"/>
          <a:ext cx="7239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29</xdr:row>
      <xdr:rowOff>276225</xdr:rowOff>
    </xdr:from>
    <xdr:to>
      <xdr:col>3</xdr:col>
      <xdr:colOff>1466850</xdr:colOff>
      <xdr:row>29</xdr:row>
      <xdr:rowOff>971550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43650" y="11287125"/>
          <a:ext cx="914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514350</xdr:colOff>
      <xdr:row>28</xdr:row>
      <xdr:rowOff>180975</xdr:rowOff>
    </xdr:from>
    <xdr:to>
      <xdr:col>3</xdr:col>
      <xdr:colOff>1419225</xdr:colOff>
      <xdr:row>28</xdr:row>
      <xdr:rowOff>885825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05550" y="10287000"/>
          <a:ext cx="904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38100</xdr:rowOff>
    </xdr:from>
    <xdr:to>
      <xdr:col>2</xdr:col>
      <xdr:colOff>1628775</xdr:colOff>
      <xdr:row>1</xdr:row>
      <xdr:rowOff>238125</xdr:rowOff>
    </xdr:to>
    <xdr:grpSp>
      <xdr:nvGrpSpPr>
        <xdr:cNvPr id="10" name="Group 5"/>
        <xdr:cNvGrpSpPr>
          <a:grpSpLocks/>
        </xdr:cNvGrpSpPr>
      </xdr:nvGrpSpPr>
      <xdr:grpSpPr>
        <a:xfrm>
          <a:off x="28575" y="981075"/>
          <a:ext cx="5619750" cy="209550"/>
          <a:chOff x="47" y="1553"/>
          <a:chExt cx="9357" cy="330"/>
        </a:xfrm>
        <a:solidFill>
          <a:srgbClr val="FFFFFF"/>
        </a:solidFill>
      </xdr:grpSpPr>
      <xdr:sp>
        <xdr:nvSpPr>
          <xdr:cNvPr id="11" name="Rectangle 7"/>
          <xdr:cNvSpPr>
            <a:spLocks/>
          </xdr:cNvSpPr>
        </xdr:nvSpPr>
        <xdr:spPr>
          <a:xfrm>
            <a:off x="4456" y="1568"/>
            <a:ext cx="4948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т. (044) 201 15 40, ф. (044) 201 15 49</a:t>
            </a:r>
          </a:p>
        </xdr:txBody>
      </xdr:sp>
      <xdr:sp>
        <xdr:nvSpPr>
          <xdr:cNvPr id="12" name="Rectangle 8">
            <a:hlinkClick r:id="rId10"/>
          </xdr:cNvPr>
          <xdr:cNvSpPr>
            <a:spLocks/>
          </xdr:cNvSpPr>
        </xdr:nvSpPr>
        <xdr:spPr>
          <a:xfrm>
            <a:off x="47" y="1553"/>
            <a:ext cx="4931" cy="3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</a:rPr>
              <a:t>www.plastics.ua/industrial</a:t>
            </a:r>
          </a:p>
        </xdr:txBody>
      </xdr:sp>
    </xdr:grpSp>
    <xdr:clientData/>
  </xdr:twoCellAnchor>
  <xdr:twoCellAnchor>
    <xdr:from>
      <xdr:col>3</xdr:col>
      <xdr:colOff>523875</xdr:colOff>
      <xdr:row>30</xdr:row>
      <xdr:rowOff>38100</xdr:rowOff>
    </xdr:from>
    <xdr:to>
      <xdr:col>3</xdr:col>
      <xdr:colOff>1657350</xdr:colOff>
      <xdr:row>30</xdr:row>
      <xdr:rowOff>952500</xdr:rowOff>
    </xdr:to>
    <xdr:pic>
      <xdr:nvPicPr>
        <xdr:cNvPr id="13" name="Picture 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15075" y="12249150"/>
          <a:ext cx="11334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1228725</xdr:colOff>
      <xdr:row>1</xdr:row>
      <xdr:rowOff>47625</xdr:rowOff>
    </xdr:from>
    <xdr:to>
      <xdr:col>3</xdr:col>
      <xdr:colOff>2057400</xdr:colOff>
      <xdr:row>1</xdr:row>
      <xdr:rowOff>228600</xdr:rowOff>
    </xdr:to>
    <xdr:sp>
      <xdr:nvSpPr>
        <xdr:cNvPr id="14" name="Rectangle 12">
          <a:hlinkClick r:id="rId12"/>
        </xdr:cNvPr>
        <xdr:cNvSpPr>
          <a:spLocks/>
        </xdr:cNvSpPr>
      </xdr:nvSpPr>
      <xdr:spPr>
        <a:xfrm>
          <a:off x="5248275" y="990600"/>
          <a:ext cx="2600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32</xdr:row>
      <xdr:rowOff>180975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439775"/>
          <a:ext cx="79819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0</xdr:row>
      <xdr:rowOff>695325</xdr:rowOff>
    </xdr:to>
    <xdr:pic>
      <xdr:nvPicPr>
        <xdr:cNvPr id="16" name="Рисунок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0"/>
          <a:ext cx="3114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2162175</xdr:colOff>
      <xdr:row>0</xdr:row>
      <xdr:rowOff>733425</xdr:rowOff>
    </xdr:to>
    <xdr:pic>
      <xdr:nvPicPr>
        <xdr:cNvPr id="17" name="Рисунок 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91200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6</xdr:row>
      <xdr:rowOff>228600</xdr:rowOff>
    </xdr:from>
    <xdr:to>
      <xdr:col>8</xdr:col>
      <xdr:colOff>219075</xdr:colOff>
      <xdr:row>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990725"/>
          <a:ext cx="2286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333375</xdr:colOff>
      <xdr:row>5</xdr:row>
      <xdr:rowOff>38100</xdr:rowOff>
    </xdr:from>
    <xdr:to>
      <xdr:col>9</xdr:col>
      <xdr:colOff>628650</xdr:colOff>
      <xdr:row>10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1724025"/>
          <a:ext cx="10191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1485900</xdr:colOff>
      <xdr:row>2</xdr:row>
      <xdr:rowOff>114300</xdr:rowOff>
    </xdr:from>
    <xdr:to>
      <xdr:col>5</xdr:col>
      <xdr:colOff>133350</xdr:colOff>
      <xdr:row>4</xdr:row>
      <xdr:rowOff>85725</xdr:rowOff>
    </xdr:to>
    <xdr:sp>
      <xdr:nvSpPr>
        <xdr:cNvPr id="3" name="Rectangle 13"/>
        <xdr:cNvSpPr>
          <a:spLocks/>
        </xdr:cNvSpPr>
      </xdr:nvSpPr>
      <xdr:spPr>
        <a:xfrm>
          <a:off x="2857500" y="962025"/>
          <a:ext cx="26860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1</xdr:col>
      <xdr:colOff>1143000</xdr:colOff>
      <xdr:row>4</xdr:row>
      <xdr:rowOff>66675</xdr:rowOff>
    </xdr:to>
    <xdr:sp>
      <xdr:nvSpPr>
        <xdr:cNvPr id="4" name="Rectangle 14">
          <a:hlinkClick r:id="rId3"/>
        </xdr:cNvPr>
        <xdr:cNvSpPr>
          <a:spLocks/>
        </xdr:cNvSpPr>
      </xdr:nvSpPr>
      <xdr:spPr>
        <a:xfrm>
          <a:off x="0" y="952500"/>
          <a:ext cx="2514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7</xdr:col>
      <xdr:colOff>28575</xdr:colOff>
      <xdr:row>57</xdr:row>
      <xdr:rowOff>47625</xdr:rowOff>
    </xdr:from>
    <xdr:to>
      <xdr:col>9</xdr:col>
      <xdr:colOff>457200</xdr:colOff>
      <xdr:row>61</xdr:row>
      <xdr:rowOff>95250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12887325"/>
          <a:ext cx="17716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904875</xdr:colOff>
      <xdr:row>57</xdr:row>
      <xdr:rowOff>257175</xdr:rowOff>
    </xdr:from>
    <xdr:to>
      <xdr:col>6</xdr:col>
      <xdr:colOff>447675</xdr:colOff>
      <xdr:row>60</xdr:row>
      <xdr:rowOff>28575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3096875"/>
          <a:ext cx="20288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200025</xdr:colOff>
      <xdr:row>3</xdr:row>
      <xdr:rowOff>76200</xdr:rowOff>
    </xdr:from>
    <xdr:to>
      <xdr:col>9</xdr:col>
      <xdr:colOff>819150</xdr:colOff>
      <xdr:row>3</xdr:row>
      <xdr:rowOff>266700</xdr:rowOff>
    </xdr:to>
    <xdr:sp>
      <xdr:nvSpPr>
        <xdr:cNvPr id="7" name="Rectangle 12">
          <a:hlinkClick r:id="rId5"/>
        </xdr:cNvPr>
        <xdr:cNvSpPr>
          <a:spLocks/>
        </xdr:cNvSpPr>
      </xdr:nvSpPr>
      <xdr:spPr>
        <a:xfrm>
          <a:off x="6143625" y="1143000"/>
          <a:ext cx="2619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110</xdr:row>
      <xdr:rowOff>219075</xdr:rowOff>
    </xdr:from>
    <xdr:to>
      <xdr:col>10</xdr:col>
      <xdr:colOff>9525</xdr:colOff>
      <xdr:row>110</xdr:row>
      <xdr:rowOff>428625</xdr:rowOff>
    </xdr:to>
    <xdr:pic>
      <xdr:nvPicPr>
        <xdr:cNvPr id="8" name="Рисунок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460075"/>
          <a:ext cx="877252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1743075</xdr:colOff>
      <xdr:row>1</xdr:row>
      <xdr:rowOff>123825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3114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0</xdr:rowOff>
    </xdr:from>
    <xdr:to>
      <xdr:col>9</xdr:col>
      <xdr:colOff>0</xdr:colOff>
      <xdr:row>1</xdr:row>
      <xdr:rowOff>161925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81675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</xdr:row>
      <xdr:rowOff>495300</xdr:rowOff>
    </xdr:from>
    <xdr:to>
      <xdr:col>4</xdr:col>
      <xdr:colOff>419100</xdr:colOff>
      <xdr:row>1</xdr:row>
      <xdr:rowOff>685800</xdr:rowOff>
    </xdr:to>
    <xdr:sp>
      <xdr:nvSpPr>
        <xdr:cNvPr id="1" name="Rectangle 13"/>
        <xdr:cNvSpPr>
          <a:spLocks/>
        </xdr:cNvSpPr>
      </xdr:nvSpPr>
      <xdr:spPr>
        <a:xfrm>
          <a:off x="2352675" y="1028700"/>
          <a:ext cx="2362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1</xdr:row>
      <xdr:rowOff>485775</xdr:rowOff>
    </xdr:from>
    <xdr:to>
      <xdr:col>1</xdr:col>
      <xdr:colOff>1266825</xdr:colOff>
      <xdr:row>1</xdr:row>
      <xdr:rowOff>685800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1019175"/>
          <a:ext cx="2495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4</xdr:col>
      <xdr:colOff>28575</xdr:colOff>
      <xdr:row>4</xdr:row>
      <xdr:rowOff>85725</xdr:rowOff>
    </xdr:from>
    <xdr:to>
      <xdr:col>7</xdr:col>
      <xdr:colOff>495300</xdr:colOff>
      <xdr:row>4</xdr:row>
      <xdr:rowOff>504825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724025"/>
          <a:ext cx="20859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600075</xdr:colOff>
      <xdr:row>3</xdr:row>
      <xdr:rowOff>28575</xdr:rowOff>
    </xdr:from>
    <xdr:to>
      <xdr:col>9</xdr:col>
      <xdr:colOff>590550</xdr:colOff>
      <xdr:row>6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476375"/>
          <a:ext cx="13335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485775</xdr:rowOff>
    </xdr:from>
    <xdr:to>
      <xdr:col>10</xdr:col>
      <xdr:colOff>19050</xdr:colOff>
      <xdr:row>1</xdr:row>
      <xdr:rowOff>676275</xdr:rowOff>
    </xdr:to>
    <xdr:sp>
      <xdr:nvSpPr>
        <xdr:cNvPr id="5" name="Rectangle 12">
          <a:hlinkClick r:id="rId4"/>
        </xdr:cNvPr>
        <xdr:cNvSpPr>
          <a:spLocks/>
        </xdr:cNvSpPr>
      </xdr:nvSpPr>
      <xdr:spPr>
        <a:xfrm>
          <a:off x="5381625" y="1019175"/>
          <a:ext cx="2619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10</xdr:col>
      <xdr:colOff>0</xdr:colOff>
      <xdr:row>21</xdr:row>
      <xdr:rowOff>190500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410450"/>
          <a:ext cx="79819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1885950</xdr:colOff>
      <xdr:row>1</xdr:row>
      <xdr:rowOff>161925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114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0</xdr:rowOff>
    </xdr:from>
    <xdr:to>
      <xdr:col>9</xdr:col>
      <xdr:colOff>666750</xdr:colOff>
      <xdr:row>1</xdr:row>
      <xdr:rowOff>200025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62625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4</xdr:row>
      <xdr:rowOff>266700</xdr:rowOff>
    </xdr:from>
    <xdr:to>
      <xdr:col>7</xdr:col>
      <xdr:colOff>552450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600200"/>
          <a:ext cx="19145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142875</xdr:colOff>
      <xdr:row>4</xdr:row>
      <xdr:rowOff>0</xdr:rowOff>
    </xdr:from>
    <xdr:to>
      <xdr:col>9</xdr:col>
      <xdr:colOff>666750</xdr:colOff>
      <xdr:row>7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333500"/>
          <a:ext cx="12573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419100</xdr:colOff>
      <xdr:row>2</xdr:row>
      <xdr:rowOff>76200</xdr:rowOff>
    </xdr:from>
    <xdr:to>
      <xdr:col>12</xdr:col>
      <xdr:colOff>0</xdr:colOff>
      <xdr:row>2</xdr:row>
      <xdr:rowOff>247650</xdr:rowOff>
    </xdr:to>
    <xdr:sp>
      <xdr:nvSpPr>
        <xdr:cNvPr id="3" name="Rectangle 12"/>
        <xdr:cNvSpPr>
          <a:spLocks/>
        </xdr:cNvSpPr>
      </xdr:nvSpPr>
      <xdr:spPr>
        <a:xfrm>
          <a:off x="7581900" y="962025"/>
          <a:ext cx="1524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9525</xdr:rowOff>
    </xdr:from>
    <xdr:to>
      <xdr:col>5</xdr:col>
      <xdr:colOff>95250</xdr:colOff>
      <xdr:row>3</xdr:row>
      <xdr:rowOff>28575</xdr:rowOff>
    </xdr:to>
    <xdr:sp>
      <xdr:nvSpPr>
        <xdr:cNvPr id="4" name="Rectangle 14"/>
        <xdr:cNvSpPr>
          <a:spLocks/>
        </xdr:cNvSpPr>
      </xdr:nvSpPr>
      <xdr:spPr>
        <a:xfrm>
          <a:off x="1666875" y="895350"/>
          <a:ext cx="2838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2</xdr:row>
      <xdr:rowOff>0</xdr:rowOff>
    </xdr:from>
    <xdr:to>
      <xdr:col>6</xdr:col>
      <xdr:colOff>47625</xdr:colOff>
      <xdr:row>3</xdr:row>
      <xdr:rowOff>9525</xdr:rowOff>
    </xdr:to>
    <xdr:sp>
      <xdr:nvSpPr>
        <xdr:cNvPr id="5" name="Rectangle 13"/>
        <xdr:cNvSpPr>
          <a:spLocks/>
        </xdr:cNvSpPr>
      </xdr:nvSpPr>
      <xdr:spPr>
        <a:xfrm>
          <a:off x="2438400" y="885825"/>
          <a:ext cx="2686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695325</xdr:colOff>
      <xdr:row>2</xdr:row>
      <xdr:rowOff>247650</xdr:rowOff>
    </xdr:to>
    <xdr:sp>
      <xdr:nvSpPr>
        <xdr:cNvPr id="6" name="Rectangle 14">
          <a:hlinkClick r:id="rId3"/>
        </xdr:cNvPr>
        <xdr:cNvSpPr>
          <a:spLocks/>
        </xdr:cNvSpPr>
      </xdr:nvSpPr>
      <xdr:spPr>
        <a:xfrm>
          <a:off x="0" y="885825"/>
          <a:ext cx="2257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676275</xdr:colOff>
      <xdr:row>52</xdr:row>
      <xdr:rowOff>161925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1563350"/>
          <a:ext cx="3619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200025</xdr:colOff>
      <xdr:row>2</xdr:row>
      <xdr:rowOff>38100</xdr:rowOff>
    </xdr:from>
    <xdr:to>
      <xdr:col>10</xdr:col>
      <xdr:colOff>0</xdr:colOff>
      <xdr:row>2</xdr:row>
      <xdr:rowOff>228600</xdr:rowOff>
    </xdr:to>
    <xdr:sp>
      <xdr:nvSpPr>
        <xdr:cNvPr id="8" name="Rectangle 12">
          <a:hlinkClick r:id="rId5"/>
        </xdr:cNvPr>
        <xdr:cNvSpPr>
          <a:spLocks/>
        </xdr:cNvSpPr>
      </xdr:nvSpPr>
      <xdr:spPr>
        <a:xfrm>
          <a:off x="5276850" y="923925"/>
          <a:ext cx="2609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69</xdr:row>
      <xdr:rowOff>152400</xdr:rowOff>
    </xdr:from>
    <xdr:to>
      <xdr:col>10</xdr:col>
      <xdr:colOff>0</xdr:colOff>
      <xdr:row>69</xdr:row>
      <xdr:rowOff>342900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135225"/>
          <a:ext cx="78867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123825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3114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0</xdr:rowOff>
    </xdr:from>
    <xdr:to>
      <xdr:col>10</xdr:col>
      <xdr:colOff>38100</xdr:colOff>
      <xdr:row>1</xdr:row>
      <xdr:rowOff>161925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62625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8</xdr:row>
      <xdr:rowOff>161925</xdr:rowOff>
    </xdr:from>
    <xdr:to>
      <xdr:col>6</xdr:col>
      <xdr:colOff>114300</xdr:colOff>
      <xdr:row>10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628775"/>
          <a:ext cx="14192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85725</xdr:colOff>
      <xdr:row>69</xdr:row>
      <xdr:rowOff>66675</xdr:rowOff>
    </xdr:from>
    <xdr:to>
      <xdr:col>3</xdr:col>
      <xdr:colOff>304800</xdr:colOff>
      <xdr:row>69</xdr:row>
      <xdr:rowOff>800100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3792200"/>
          <a:ext cx="11715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70</xdr:row>
      <xdr:rowOff>76200</xdr:rowOff>
    </xdr:from>
    <xdr:to>
      <xdr:col>3</xdr:col>
      <xdr:colOff>228600</xdr:colOff>
      <xdr:row>71</xdr:row>
      <xdr:rowOff>323850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4687550"/>
          <a:ext cx="10191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638175</xdr:colOff>
      <xdr:row>5</xdr:row>
      <xdr:rowOff>133350</xdr:rowOff>
    </xdr:from>
    <xdr:to>
      <xdr:col>8</xdr:col>
      <xdr:colOff>371475</xdr:colOff>
      <xdr:row>7</xdr:row>
      <xdr:rowOff>152400</xdr:rowOff>
    </xdr:to>
    <xdr:sp>
      <xdr:nvSpPr>
        <xdr:cNvPr id="4" name="Rectangle 13"/>
        <xdr:cNvSpPr>
          <a:spLocks/>
        </xdr:cNvSpPr>
      </xdr:nvSpPr>
      <xdr:spPr>
        <a:xfrm>
          <a:off x="5981700" y="1085850"/>
          <a:ext cx="3133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</xdr:row>
      <xdr:rowOff>171450</xdr:rowOff>
    </xdr:from>
    <xdr:to>
      <xdr:col>5</xdr:col>
      <xdr:colOff>95250</xdr:colOff>
      <xdr:row>7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2390775" y="933450"/>
          <a:ext cx="3848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4</xdr:row>
      <xdr:rowOff>161925</xdr:rowOff>
    </xdr:from>
    <xdr:to>
      <xdr:col>3</xdr:col>
      <xdr:colOff>800100</xdr:colOff>
      <xdr:row>7</xdr:row>
      <xdr:rowOff>47625</xdr:rowOff>
    </xdr:to>
    <xdr:sp>
      <xdr:nvSpPr>
        <xdr:cNvPr id="6" name="Rectangle 13"/>
        <xdr:cNvSpPr>
          <a:spLocks/>
        </xdr:cNvSpPr>
      </xdr:nvSpPr>
      <xdr:spPr>
        <a:xfrm>
          <a:off x="2895600" y="923925"/>
          <a:ext cx="23907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4</xdr:row>
      <xdr:rowOff>180975</xdr:rowOff>
    </xdr:from>
    <xdr:to>
      <xdr:col>0</xdr:col>
      <xdr:colOff>2276475</xdr:colOff>
      <xdr:row>7</xdr:row>
      <xdr:rowOff>9525</xdr:rowOff>
    </xdr:to>
    <xdr:sp>
      <xdr:nvSpPr>
        <xdr:cNvPr id="7" name="Rectangle 14">
          <a:hlinkClick r:id="rId4"/>
        </xdr:cNvPr>
        <xdr:cNvSpPr>
          <a:spLocks/>
        </xdr:cNvSpPr>
      </xdr:nvSpPr>
      <xdr:spPr>
        <a:xfrm>
          <a:off x="0" y="942975"/>
          <a:ext cx="2276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7</xdr:col>
      <xdr:colOff>933450</xdr:colOff>
      <xdr:row>11</xdr:row>
      <xdr:rowOff>47625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00975" y="1381125"/>
          <a:ext cx="8858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5</xdr:row>
      <xdr:rowOff>57150</xdr:rowOff>
    </xdr:from>
    <xdr:to>
      <xdr:col>8</xdr:col>
      <xdr:colOff>66675</xdr:colOff>
      <xdr:row>6</xdr:row>
      <xdr:rowOff>57150</xdr:rowOff>
    </xdr:to>
    <xdr:sp>
      <xdr:nvSpPr>
        <xdr:cNvPr id="9" name="Rectangle 12">
          <a:hlinkClick r:id="rId6"/>
        </xdr:cNvPr>
        <xdr:cNvSpPr>
          <a:spLocks/>
        </xdr:cNvSpPr>
      </xdr:nvSpPr>
      <xdr:spPr>
        <a:xfrm>
          <a:off x="6191250" y="1009650"/>
          <a:ext cx="2619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79</xdr:row>
      <xdr:rowOff>19050</xdr:rowOff>
    </xdr:from>
    <xdr:to>
      <xdr:col>8</xdr:col>
      <xdr:colOff>0</xdr:colOff>
      <xdr:row>79</xdr:row>
      <xdr:rowOff>228600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706850"/>
          <a:ext cx="87439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828675</xdr:colOff>
      <xdr:row>4</xdr:row>
      <xdr:rowOff>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8575"/>
          <a:ext cx="3114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0</xdr:rowOff>
    </xdr:from>
    <xdr:to>
      <xdr:col>7</xdr:col>
      <xdr:colOff>923925</xdr:colOff>
      <xdr:row>4</xdr:row>
      <xdr:rowOff>9525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05575" y="0"/>
          <a:ext cx="2171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409575</xdr:rowOff>
    </xdr:from>
    <xdr:to>
      <xdr:col>9</xdr:col>
      <xdr:colOff>19050</xdr:colOff>
      <xdr:row>5</xdr:row>
      <xdr:rowOff>9525</xdr:rowOff>
    </xdr:to>
    <xdr:sp>
      <xdr:nvSpPr>
        <xdr:cNvPr id="1" name="Rectangle 13"/>
        <xdr:cNvSpPr>
          <a:spLocks/>
        </xdr:cNvSpPr>
      </xdr:nvSpPr>
      <xdr:spPr>
        <a:xfrm>
          <a:off x="3886200" y="1409700"/>
          <a:ext cx="2809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3</xdr:row>
      <xdr:rowOff>381000</xdr:rowOff>
    </xdr:from>
    <xdr:to>
      <xdr:col>1</xdr:col>
      <xdr:colOff>657225</xdr:colOff>
      <xdr:row>5</xdr:row>
      <xdr:rowOff>9525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1381125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11</xdr:col>
      <xdr:colOff>314325</xdr:colOff>
      <xdr:row>6</xdr:row>
      <xdr:rowOff>9525</xdr:rowOff>
    </xdr:from>
    <xdr:to>
      <xdr:col>13</xdr:col>
      <xdr:colOff>371475</xdr:colOff>
      <xdr:row>9</xdr:row>
      <xdr:rowOff>152400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1885950"/>
          <a:ext cx="15049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476250</xdr:colOff>
      <xdr:row>6</xdr:row>
      <xdr:rowOff>9525</xdr:rowOff>
    </xdr:from>
    <xdr:to>
      <xdr:col>15</xdr:col>
      <xdr:colOff>619125</xdr:colOff>
      <xdr:row>9</xdr:row>
      <xdr:rowOff>171450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1885950"/>
          <a:ext cx="9048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219075</xdr:colOff>
      <xdr:row>4</xdr:row>
      <xdr:rowOff>28575</xdr:rowOff>
    </xdr:from>
    <xdr:to>
      <xdr:col>16</xdr:col>
      <xdr:colOff>28575</xdr:colOff>
      <xdr:row>4</xdr:row>
      <xdr:rowOff>219075</xdr:rowOff>
    </xdr:to>
    <xdr:sp>
      <xdr:nvSpPr>
        <xdr:cNvPr id="5" name="Rectangle 12">
          <a:hlinkClick r:id="rId4"/>
        </xdr:cNvPr>
        <xdr:cNvSpPr>
          <a:spLocks/>
        </xdr:cNvSpPr>
      </xdr:nvSpPr>
      <xdr:spPr>
        <a:xfrm>
          <a:off x="8953500" y="1447800"/>
          <a:ext cx="2600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16</xdr:col>
      <xdr:colOff>9525</xdr:colOff>
      <xdr:row>47</xdr:row>
      <xdr:rowOff>161925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963150"/>
          <a:ext cx="115347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3</xdr:row>
      <xdr:rowOff>76200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490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19050</xdr:rowOff>
    </xdr:from>
    <xdr:to>
      <xdr:col>15</xdr:col>
      <xdr:colOff>352425</xdr:colOff>
      <xdr:row>3</xdr:row>
      <xdr:rowOff>76200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91475" y="19050"/>
          <a:ext cx="3190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</xdr:row>
      <xdr:rowOff>76200</xdr:rowOff>
    </xdr:from>
    <xdr:to>
      <xdr:col>2</xdr:col>
      <xdr:colOff>1095375</xdr:colOff>
      <xdr:row>2</xdr:row>
      <xdr:rowOff>9525</xdr:rowOff>
    </xdr:to>
    <xdr:sp>
      <xdr:nvSpPr>
        <xdr:cNvPr id="1" name="Rectangle 13"/>
        <xdr:cNvSpPr>
          <a:spLocks/>
        </xdr:cNvSpPr>
      </xdr:nvSpPr>
      <xdr:spPr>
        <a:xfrm>
          <a:off x="1790700" y="847725"/>
          <a:ext cx="2324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1200150</xdr:colOff>
      <xdr:row>2</xdr:row>
      <xdr:rowOff>66675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0" y="781050"/>
          <a:ext cx="21812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2</xdr:col>
      <xdr:colOff>1114425</xdr:colOff>
      <xdr:row>1</xdr:row>
      <xdr:rowOff>123825</xdr:rowOff>
    </xdr:from>
    <xdr:to>
      <xdr:col>4</xdr:col>
      <xdr:colOff>0</xdr:colOff>
      <xdr:row>1</xdr:row>
      <xdr:rowOff>314325</xdr:rowOff>
    </xdr:to>
    <xdr:sp>
      <xdr:nvSpPr>
        <xdr:cNvPr id="3" name="Rectangle 12">
          <a:hlinkClick r:id="rId2"/>
        </xdr:cNvPr>
        <xdr:cNvSpPr>
          <a:spLocks/>
        </xdr:cNvSpPr>
      </xdr:nvSpPr>
      <xdr:spPr>
        <a:xfrm>
          <a:off x="4133850" y="895350"/>
          <a:ext cx="2619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4</xdr:col>
      <xdr:colOff>9525</xdr:colOff>
      <xdr:row>38</xdr:row>
      <xdr:rowOff>9525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48500"/>
          <a:ext cx="67627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0</xdr:row>
      <xdr:rowOff>742950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314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1590675</xdr:colOff>
      <xdr:row>0</xdr:row>
      <xdr:rowOff>38100</xdr:rowOff>
    </xdr:from>
    <xdr:to>
      <xdr:col>3</xdr:col>
      <xdr:colOff>1590675</xdr:colOff>
      <xdr:row>0</xdr:row>
      <xdr:rowOff>742950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0100" y="38100"/>
          <a:ext cx="2066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28575</xdr:rowOff>
    </xdr:from>
    <xdr:to>
      <xdr:col>2</xdr:col>
      <xdr:colOff>962025</xdr:colOff>
      <xdr:row>7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524000"/>
          <a:ext cx="8382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47625</xdr:rowOff>
    </xdr:from>
    <xdr:to>
      <xdr:col>0</xdr:col>
      <xdr:colOff>5514975</xdr:colOff>
      <xdr:row>1</xdr:row>
      <xdr:rowOff>276225</xdr:rowOff>
    </xdr:to>
    <xdr:grpSp>
      <xdr:nvGrpSpPr>
        <xdr:cNvPr id="2" name="Group 5"/>
        <xdr:cNvGrpSpPr>
          <a:grpSpLocks/>
        </xdr:cNvGrpSpPr>
      </xdr:nvGrpSpPr>
      <xdr:grpSpPr>
        <a:xfrm>
          <a:off x="19050" y="1038225"/>
          <a:ext cx="5495925" cy="228600"/>
          <a:chOff x="27" y="1638"/>
          <a:chExt cx="9144" cy="358"/>
        </a:xfrm>
        <a:solidFill>
          <a:srgbClr val="FFFFFF"/>
        </a:solidFill>
      </xdr:grpSpPr>
      <xdr:sp>
        <xdr:nvSpPr>
          <xdr:cNvPr id="3" name="Rectangle 7"/>
          <xdr:cNvSpPr>
            <a:spLocks/>
          </xdr:cNvSpPr>
        </xdr:nvSpPr>
        <xdr:spPr>
          <a:xfrm>
            <a:off x="4146" y="1638"/>
            <a:ext cx="5025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т. (044) 201 15 40, ф. (044) 201 15 49</a:t>
            </a:r>
          </a:p>
        </xdr:txBody>
      </xdr:sp>
      <xdr:sp>
        <xdr:nvSpPr>
          <xdr:cNvPr id="4" name="Rectangle 8">
            <a:hlinkClick r:id="rId2"/>
          </xdr:cNvPr>
          <xdr:cNvSpPr>
            <a:spLocks/>
          </xdr:cNvSpPr>
        </xdr:nvSpPr>
        <xdr:spPr>
          <a:xfrm>
            <a:off x="27" y="1638"/>
            <a:ext cx="5009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000" b="0" i="0" u="sng" baseline="0">
                <a:solidFill>
                  <a:srgbClr val="0000FF"/>
                </a:solidFill>
              </a:rPr>
              <a:t>www.plastics.ua/industrial</a:t>
            </a:r>
          </a:p>
        </xdr:txBody>
      </xdr:sp>
    </xdr:grpSp>
    <xdr:clientData/>
  </xdr:twoCellAnchor>
  <xdr:twoCellAnchor>
    <xdr:from>
      <xdr:col>0</xdr:col>
      <xdr:colOff>5448300</xdr:colOff>
      <xdr:row>1</xdr:row>
      <xdr:rowOff>47625</xdr:rowOff>
    </xdr:from>
    <xdr:to>
      <xdr:col>3</xdr:col>
      <xdr:colOff>76200</xdr:colOff>
      <xdr:row>1</xdr:row>
      <xdr:rowOff>238125</xdr:rowOff>
    </xdr:to>
    <xdr:sp>
      <xdr:nvSpPr>
        <xdr:cNvPr id="5" name="Rectangle 12">
          <a:hlinkClick r:id="rId3"/>
        </xdr:cNvPr>
        <xdr:cNvSpPr>
          <a:spLocks/>
        </xdr:cNvSpPr>
      </xdr:nvSpPr>
      <xdr:spPr>
        <a:xfrm>
          <a:off x="5448300" y="1038225"/>
          <a:ext cx="2609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9525</xdr:colOff>
      <xdr:row>144</xdr:row>
      <xdr:rowOff>28575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670250"/>
          <a:ext cx="79914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4295775</xdr:colOff>
      <xdr:row>3</xdr:row>
      <xdr:rowOff>114300</xdr:rowOff>
    </xdr:from>
    <xdr:to>
      <xdr:col>1</xdr:col>
      <xdr:colOff>1209675</xdr:colOff>
      <xdr:row>6</xdr:row>
      <xdr:rowOff>114300</xdr:rowOff>
    </xdr:to>
    <xdr:pic>
      <xdr:nvPicPr>
        <xdr:cNvPr id="7" name="Picture 10" descr="zell-metall_klepsch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95775" y="1609725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3086100</xdr:colOff>
      <xdr:row>0</xdr:row>
      <xdr:rowOff>676275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086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866775</xdr:colOff>
      <xdr:row>0</xdr:row>
      <xdr:rowOff>714375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95950" y="0"/>
          <a:ext cx="2114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2495550</xdr:colOff>
      <xdr:row>1</xdr:row>
      <xdr:rowOff>47625</xdr:rowOff>
    </xdr:from>
    <xdr:to>
      <xdr:col>0</xdr:col>
      <xdr:colOff>5514975</xdr:colOff>
      <xdr:row>1</xdr:row>
      <xdr:rowOff>276225</xdr:rowOff>
    </xdr:to>
    <xdr:sp>
      <xdr:nvSpPr>
        <xdr:cNvPr id="1" name="Rectangle 7"/>
        <xdr:cNvSpPr>
          <a:spLocks/>
        </xdr:cNvSpPr>
      </xdr:nvSpPr>
      <xdr:spPr>
        <a:xfrm>
          <a:off x="2495550" y="1038225"/>
          <a:ext cx="3019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3</xdr:col>
      <xdr:colOff>9525</xdr:colOff>
      <xdr:row>20</xdr:row>
      <xdr:rowOff>19050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00600"/>
          <a:ext cx="79914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</xdr:row>
      <xdr:rowOff>76200</xdr:rowOff>
    </xdr:from>
    <xdr:to>
      <xdr:col>2</xdr:col>
      <xdr:colOff>1000125</xdr:colOff>
      <xdr:row>7</xdr:row>
      <xdr:rowOff>95250</xdr:rowOff>
    </xdr:to>
    <xdr:pic>
      <xdr:nvPicPr>
        <xdr:cNvPr id="3" name="Picture 7" descr="&amp;Rcy;&amp;iecy;&amp;zcy;&amp;ucy;&amp;lcy;&amp;softcy;&amp;tcy;&amp;acy;&amp;tcy;&amp;ycy; &amp;pcy;&amp;ocy;&amp;icy;&amp;scy;&amp;kcy;&amp;acy; &amp;icy;&amp;zcy;&amp;ocy;&amp;bcy;&amp;rcy;&amp;acy;&amp;zhcy;&amp;iecy;&amp;ncy;&amp;icy;&amp;jcy; &amp;dcy;&amp;lcy;&amp;yacy; &amp;zcy;&amp;acy;&amp;pcy;&amp;rcy;&amp;ocy;&amp;scy;&amp;acy; &quot;&amp;fcy;&amp;tcy;&amp;ocy;&amp;rcy;&amp;ocy;&amp;pcy;&amp;lcy;&amp;acy;&amp;scy;&amp;tcy;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390650"/>
          <a:ext cx="1562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5295900</xdr:colOff>
      <xdr:row>1</xdr:row>
      <xdr:rowOff>28575</xdr:rowOff>
    </xdr:from>
    <xdr:to>
      <xdr:col>2</xdr:col>
      <xdr:colOff>962025</xdr:colOff>
      <xdr:row>1</xdr:row>
      <xdr:rowOff>28575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5295900" y="1019175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9525</xdr:colOff>
      <xdr:row>0</xdr:row>
      <xdr:rowOff>971550</xdr:rowOff>
    </xdr:from>
    <xdr:to>
      <xdr:col>0</xdr:col>
      <xdr:colOff>3209925</xdr:colOff>
      <xdr:row>2</xdr:row>
      <xdr:rowOff>66675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9525" y="971550"/>
          <a:ext cx="3200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3114675</xdr:colOff>
      <xdr:row>0</xdr:row>
      <xdr:rowOff>695325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114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2</xdr:col>
      <xdr:colOff>1000125</xdr:colOff>
      <xdr:row>0</xdr:row>
      <xdr:rowOff>733425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81675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0</xdr:rowOff>
    </xdr:from>
    <xdr:to>
      <xdr:col>6</xdr:col>
      <xdr:colOff>57150</xdr:colOff>
      <xdr:row>3</xdr:row>
      <xdr:rowOff>9525</xdr:rowOff>
    </xdr:to>
    <xdr:sp>
      <xdr:nvSpPr>
        <xdr:cNvPr id="1" name="Rectangle 13"/>
        <xdr:cNvSpPr>
          <a:spLocks/>
        </xdr:cNvSpPr>
      </xdr:nvSpPr>
      <xdr:spPr>
        <a:xfrm>
          <a:off x="3028950" y="971550"/>
          <a:ext cx="2609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 (044) 201 15 40, ф. (044) 201 15 49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781050</xdr:colOff>
      <xdr:row>2</xdr:row>
      <xdr:rowOff>409575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9525" y="971550"/>
          <a:ext cx="3200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9</xdr:col>
      <xdr:colOff>142875</xdr:colOff>
      <xdr:row>22</xdr:row>
      <xdr:rowOff>219075</xdr:rowOff>
    </xdr:from>
    <xdr:to>
      <xdr:col>10</xdr:col>
      <xdr:colOff>514350</xdr:colOff>
      <xdr:row>26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8572500"/>
          <a:ext cx="12001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257175</xdr:colOff>
      <xdr:row>22</xdr:row>
      <xdr:rowOff>257175</xdr:rowOff>
    </xdr:from>
    <xdr:to>
      <xdr:col>8</xdr:col>
      <xdr:colOff>238125</xdr:colOff>
      <xdr:row>26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8610600"/>
          <a:ext cx="5619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123825</xdr:colOff>
      <xdr:row>4</xdr:row>
      <xdr:rowOff>171450</xdr:rowOff>
    </xdr:from>
    <xdr:to>
      <xdr:col>10</xdr:col>
      <xdr:colOff>581025</xdr:colOff>
      <xdr:row>8</xdr:row>
      <xdr:rowOff>161925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819275"/>
          <a:ext cx="12858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342900</xdr:colOff>
      <xdr:row>33</xdr:row>
      <xdr:rowOff>238125</xdr:rowOff>
    </xdr:from>
    <xdr:to>
      <xdr:col>6</xdr:col>
      <xdr:colOff>400050</xdr:colOff>
      <xdr:row>36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9725" y="12106275"/>
          <a:ext cx="5619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104775</xdr:colOff>
      <xdr:row>33</xdr:row>
      <xdr:rowOff>38100</xdr:rowOff>
    </xdr:from>
    <xdr:to>
      <xdr:col>10</xdr:col>
      <xdr:colOff>409575</xdr:colOff>
      <xdr:row>38</xdr:row>
      <xdr:rowOff>0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11906250"/>
          <a:ext cx="22383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142875</xdr:colOff>
      <xdr:row>2</xdr:row>
      <xdr:rowOff>104775</xdr:rowOff>
    </xdr:from>
    <xdr:to>
      <xdr:col>11</xdr:col>
      <xdr:colOff>38100</xdr:colOff>
      <xdr:row>2</xdr:row>
      <xdr:rowOff>295275</xdr:rowOff>
    </xdr:to>
    <xdr:sp>
      <xdr:nvSpPr>
        <xdr:cNvPr id="8" name="Rectangle 12">
          <a:hlinkClick r:id="rId6"/>
        </xdr:cNvPr>
        <xdr:cNvSpPr>
          <a:spLocks/>
        </xdr:cNvSpPr>
      </xdr:nvSpPr>
      <xdr:spPr>
        <a:xfrm>
          <a:off x="6229350" y="1076325"/>
          <a:ext cx="2609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48</xdr:row>
      <xdr:rowOff>171450</xdr:rowOff>
    </xdr:from>
    <xdr:to>
      <xdr:col>11</xdr:col>
      <xdr:colOff>0</xdr:colOff>
      <xdr:row>50</xdr:row>
      <xdr:rowOff>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5259050"/>
          <a:ext cx="880110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1</xdr:row>
      <xdr:rowOff>533400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105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0</xdr:rowOff>
    </xdr:from>
    <xdr:to>
      <xdr:col>10</xdr:col>
      <xdr:colOff>561975</xdr:colOff>
      <xdr:row>1</xdr:row>
      <xdr:rowOff>762000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48350" y="0"/>
          <a:ext cx="2733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828675</xdr:colOff>
      <xdr:row>4</xdr:row>
      <xdr:rowOff>19050</xdr:rowOff>
    </xdr:from>
    <xdr:to>
      <xdr:col>9</xdr:col>
      <xdr:colOff>1000125</xdr:colOff>
      <xdr:row>7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581150"/>
          <a:ext cx="12287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733425</xdr:colOff>
      <xdr:row>4</xdr:row>
      <xdr:rowOff>304800</xdr:rowOff>
    </xdr:from>
    <xdr:to>
      <xdr:col>8</xdr:col>
      <xdr:colOff>733425</xdr:colOff>
      <xdr:row>5</xdr:row>
      <xdr:rowOff>276225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866900"/>
          <a:ext cx="19335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390525</xdr:colOff>
      <xdr:row>61</xdr:row>
      <xdr:rowOff>28575</xdr:rowOff>
    </xdr:from>
    <xdr:to>
      <xdr:col>1</xdr:col>
      <xdr:colOff>742950</xdr:colOff>
      <xdr:row>62</xdr:row>
      <xdr:rowOff>161925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14944725"/>
          <a:ext cx="3524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333375</xdr:colOff>
      <xdr:row>63</xdr:row>
      <xdr:rowOff>133350</xdr:rowOff>
    </xdr:from>
    <xdr:to>
      <xdr:col>1</xdr:col>
      <xdr:colOff>790575</xdr:colOff>
      <xdr:row>65</xdr:row>
      <xdr:rowOff>47625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15468600"/>
          <a:ext cx="4572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67</xdr:row>
      <xdr:rowOff>28575</xdr:rowOff>
    </xdr:from>
    <xdr:to>
      <xdr:col>1</xdr:col>
      <xdr:colOff>828675</xdr:colOff>
      <xdr:row>68</xdr:row>
      <xdr:rowOff>152400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" y="16192500"/>
          <a:ext cx="5238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19050</xdr:rowOff>
    </xdr:from>
    <xdr:to>
      <xdr:col>6</xdr:col>
      <xdr:colOff>514350</xdr:colOff>
      <xdr:row>3</xdr:row>
      <xdr:rowOff>28575</xdr:rowOff>
    </xdr:to>
    <xdr:sp>
      <xdr:nvSpPr>
        <xdr:cNvPr id="6" name="Rectangle 13"/>
        <xdr:cNvSpPr>
          <a:spLocks/>
        </xdr:cNvSpPr>
      </xdr:nvSpPr>
      <xdr:spPr>
        <a:xfrm>
          <a:off x="2619375" y="962025"/>
          <a:ext cx="22288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3</xdr:col>
      <xdr:colOff>219075</xdr:colOff>
      <xdr:row>3</xdr:row>
      <xdr:rowOff>19050</xdr:rowOff>
    </xdr:to>
    <xdr:sp>
      <xdr:nvSpPr>
        <xdr:cNvPr id="7" name="Rectangle 14">
          <a:hlinkClick r:id="rId6"/>
        </xdr:cNvPr>
        <xdr:cNvSpPr>
          <a:spLocks/>
        </xdr:cNvSpPr>
      </xdr:nvSpPr>
      <xdr:spPr>
        <a:xfrm>
          <a:off x="9525" y="942975"/>
          <a:ext cx="3095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7</xdr:col>
      <xdr:colOff>409575</xdr:colOff>
      <xdr:row>2</xdr:row>
      <xdr:rowOff>85725</xdr:rowOff>
    </xdr:from>
    <xdr:to>
      <xdr:col>9</xdr:col>
      <xdr:colOff>1028700</xdr:colOff>
      <xdr:row>2</xdr:row>
      <xdr:rowOff>276225</xdr:rowOff>
    </xdr:to>
    <xdr:sp>
      <xdr:nvSpPr>
        <xdr:cNvPr id="8" name="Rectangle 12">
          <a:hlinkClick r:id="rId7"/>
        </xdr:cNvPr>
        <xdr:cNvSpPr>
          <a:spLocks/>
        </xdr:cNvSpPr>
      </xdr:nvSpPr>
      <xdr:spPr>
        <a:xfrm>
          <a:off x="5734050" y="1028700"/>
          <a:ext cx="2619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74</xdr:row>
      <xdr:rowOff>95250</xdr:rowOff>
    </xdr:from>
    <xdr:to>
      <xdr:col>10</xdr:col>
      <xdr:colOff>0</xdr:colOff>
      <xdr:row>74</xdr:row>
      <xdr:rowOff>285750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7564100"/>
          <a:ext cx="83629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219075</xdr:colOff>
      <xdr:row>1</xdr:row>
      <xdr:rowOff>152400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8575"/>
          <a:ext cx="3105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0</xdr:row>
      <xdr:rowOff>28575</xdr:rowOff>
    </xdr:from>
    <xdr:to>
      <xdr:col>9</xdr:col>
      <xdr:colOff>981075</xdr:colOff>
      <xdr:row>1</xdr:row>
      <xdr:rowOff>314325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62625" y="28575"/>
          <a:ext cx="2543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4</xdr:row>
      <xdr:rowOff>257175</xdr:rowOff>
    </xdr:from>
    <xdr:to>
      <xdr:col>8</xdr:col>
      <xdr:colOff>638175</xdr:colOff>
      <xdr:row>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724025"/>
          <a:ext cx="21526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28</xdr:row>
      <xdr:rowOff>114300</xdr:rowOff>
    </xdr:from>
    <xdr:to>
      <xdr:col>1</xdr:col>
      <xdr:colOff>800100</xdr:colOff>
      <xdr:row>31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7419975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1019175</xdr:colOff>
      <xdr:row>4</xdr:row>
      <xdr:rowOff>0</xdr:rowOff>
    </xdr:from>
    <xdr:to>
      <xdr:col>9</xdr:col>
      <xdr:colOff>1009650</xdr:colOff>
      <xdr:row>7</xdr:row>
      <xdr:rowOff>200025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6625" y="1466850"/>
          <a:ext cx="10477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2</xdr:row>
      <xdr:rowOff>57150</xdr:rowOff>
    </xdr:from>
    <xdr:to>
      <xdr:col>6</xdr:col>
      <xdr:colOff>857250</xdr:colOff>
      <xdr:row>3</xdr:row>
      <xdr:rowOff>76200</xdr:rowOff>
    </xdr:to>
    <xdr:sp>
      <xdr:nvSpPr>
        <xdr:cNvPr id="4" name="Rectangle 13"/>
        <xdr:cNvSpPr>
          <a:spLocks/>
        </xdr:cNvSpPr>
      </xdr:nvSpPr>
      <xdr:spPr>
        <a:xfrm>
          <a:off x="2819400" y="942975"/>
          <a:ext cx="2247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3</xdr:col>
      <xdr:colOff>219075</xdr:colOff>
      <xdr:row>3</xdr:row>
      <xdr:rowOff>66675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0" y="933450"/>
          <a:ext cx="2962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7</xdr:col>
      <xdr:colOff>409575</xdr:colOff>
      <xdr:row>2</xdr:row>
      <xdr:rowOff>142875</xdr:rowOff>
    </xdr:from>
    <xdr:to>
      <xdr:col>9</xdr:col>
      <xdr:colOff>1028700</xdr:colOff>
      <xdr:row>2</xdr:row>
      <xdr:rowOff>333375</xdr:rowOff>
    </xdr:to>
    <xdr:sp>
      <xdr:nvSpPr>
        <xdr:cNvPr id="6" name="Rectangle 12">
          <a:hlinkClick r:id="rId5"/>
        </xdr:cNvPr>
        <xdr:cNvSpPr>
          <a:spLocks/>
        </xdr:cNvSpPr>
      </xdr:nvSpPr>
      <xdr:spPr>
        <a:xfrm>
          <a:off x="5734050" y="1028700"/>
          <a:ext cx="2619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36</xdr:row>
      <xdr:rowOff>76200</xdr:rowOff>
    </xdr:from>
    <xdr:to>
      <xdr:col>9</xdr:col>
      <xdr:colOff>1028700</xdr:colOff>
      <xdr:row>36</xdr:row>
      <xdr:rowOff>276225</xdr:rowOff>
    </xdr:to>
    <xdr:pic>
      <xdr:nvPicPr>
        <xdr:cNvPr id="7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810625"/>
          <a:ext cx="83534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1</xdr:row>
      <xdr:rowOff>123825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3114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0</xdr:rowOff>
    </xdr:from>
    <xdr:to>
      <xdr:col>9</xdr:col>
      <xdr:colOff>923925</xdr:colOff>
      <xdr:row>1</xdr:row>
      <xdr:rowOff>266700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" y="0"/>
          <a:ext cx="2476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5</xdr:row>
      <xdr:rowOff>28575</xdr:rowOff>
    </xdr:from>
    <xdr:to>
      <xdr:col>7</xdr:col>
      <xdr:colOff>0</xdr:colOff>
      <xdr:row>6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809750"/>
          <a:ext cx="26479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2</xdr:row>
      <xdr:rowOff>28575</xdr:rowOff>
    </xdr:from>
    <xdr:to>
      <xdr:col>6</xdr:col>
      <xdr:colOff>895350</xdr:colOff>
      <xdr:row>3</xdr:row>
      <xdr:rowOff>47625</xdr:rowOff>
    </xdr:to>
    <xdr:sp>
      <xdr:nvSpPr>
        <xdr:cNvPr id="2" name="Rectangle 13"/>
        <xdr:cNvSpPr>
          <a:spLocks/>
        </xdr:cNvSpPr>
      </xdr:nvSpPr>
      <xdr:spPr>
        <a:xfrm>
          <a:off x="2771775" y="952500"/>
          <a:ext cx="3962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</xdr:col>
      <xdr:colOff>1028700</xdr:colOff>
      <xdr:row>3</xdr:row>
      <xdr:rowOff>28575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0" y="942975"/>
          <a:ext cx="2314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7</xdr:col>
      <xdr:colOff>190500</xdr:colOff>
      <xdr:row>4</xdr:row>
      <xdr:rowOff>9525</xdr:rowOff>
    </xdr:from>
    <xdr:to>
      <xdr:col>8</xdr:col>
      <xdr:colOff>571500</xdr:colOff>
      <xdr:row>7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1438275"/>
          <a:ext cx="10001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1171575</xdr:colOff>
      <xdr:row>2</xdr:row>
      <xdr:rowOff>85725</xdr:rowOff>
    </xdr:from>
    <xdr:to>
      <xdr:col>9</xdr:col>
      <xdr:colOff>0</xdr:colOff>
      <xdr:row>2</xdr:row>
      <xdr:rowOff>276225</xdr:rowOff>
    </xdr:to>
    <xdr:sp>
      <xdr:nvSpPr>
        <xdr:cNvPr id="5" name="Rectangle 12">
          <a:hlinkClick r:id="rId4"/>
        </xdr:cNvPr>
        <xdr:cNvSpPr>
          <a:spLocks/>
        </xdr:cNvSpPr>
      </xdr:nvSpPr>
      <xdr:spPr>
        <a:xfrm>
          <a:off x="5791200" y="1009650"/>
          <a:ext cx="2609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9</xdr:col>
      <xdr:colOff>9525</xdr:colOff>
      <xdr:row>53</xdr:row>
      <xdr:rowOff>9525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639550"/>
          <a:ext cx="841057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228600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562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1162050</xdr:colOff>
      <xdr:row>0</xdr:row>
      <xdr:rowOff>0</xdr:rowOff>
    </xdr:from>
    <xdr:to>
      <xdr:col>8</xdr:col>
      <xdr:colOff>447675</xdr:colOff>
      <xdr:row>1</xdr:row>
      <xdr:rowOff>266700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81675" y="0"/>
          <a:ext cx="2466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161925</xdr:rowOff>
    </xdr:from>
    <xdr:to>
      <xdr:col>0</xdr:col>
      <xdr:colOff>1219200</xdr:colOff>
      <xdr:row>26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591175"/>
          <a:ext cx="11334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15</xdr:row>
      <xdr:rowOff>238125</xdr:rowOff>
    </xdr:from>
    <xdr:to>
      <xdr:col>0</xdr:col>
      <xdr:colOff>1200150</xdr:colOff>
      <xdr:row>18</xdr:row>
      <xdr:rowOff>219075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067175"/>
          <a:ext cx="9810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66675</xdr:colOff>
      <xdr:row>5</xdr:row>
      <xdr:rowOff>0</xdr:rowOff>
    </xdr:from>
    <xdr:to>
      <xdr:col>10</xdr:col>
      <xdr:colOff>114300</xdr:colOff>
      <xdr:row>6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1800225"/>
          <a:ext cx="17335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29</xdr:row>
      <xdr:rowOff>76200</xdr:rowOff>
    </xdr:from>
    <xdr:to>
      <xdr:col>0</xdr:col>
      <xdr:colOff>1133475</xdr:colOff>
      <xdr:row>34</xdr:row>
      <xdr:rowOff>152400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7419975"/>
          <a:ext cx="95250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28575</xdr:rowOff>
    </xdr:from>
    <xdr:to>
      <xdr:col>7</xdr:col>
      <xdr:colOff>47625</xdr:colOff>
      <xdr:row>3</xdr:row>
      <xdr:rowOff>47625</xdr:rowOff>
    </xdr:to>
    <xdr:sp>
      <xdr:nvSpPr>
        <xdr:cNvPr id="5" name="Rectangle 13"/>
        <xdr:cNvSpPr>
          <a:spLocks/>
        </xdr:cNvSpPr>
      </xdr:nvSpPr>
      <xdr:spPr>
        <a:xfrm>
          <a:off x="2543175" y="866775"/>
          <a:ext cx="2419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</xdr:col>
      <xdr:colOff>466725</xdr:colOff>
      <xdr:row>3</xdr:row>
      <xdr:rowOff>28575</xdr:rowOff>
    </xdr:to>
    <xdr:sp>
      <xdr:nvSpPr>
        <xdr:cNvPr id="6" name="Rectangle 14">
          <a:hlinkClick r:id="rId5"/>
        </xdr:cNvPr>
        <xdr:cNvSpPr>
          <a:spLocks/>
        </xdr:cNvSpPr>
      </xdr:nvSpPr>
      <xdr:spPr>
        <a:xfrm>
          <a:off x="0" y="857250"/>
          <a:ext cx="1752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10</xdr:col>
      <xdr:colOff>219075</xdr:colOff>
      <xdr:row>4</xdr:row>
      <xdr:rowOff>0</xdr:rowOff>
    </xdr:from>
    <xdr:to>
      <xdr:col>11</xdr:col>
      <xdr:colOff>666750</xdr:colOff>
      <xdr:row>8</xdr:row>
      <xdr:rowOff>161925</xdr:rowOff>
    </xdr:to>
    <xdr:pic>
      <xdr:nvPicPr>
        <xdr:cNvPr id="7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19900" y="1466850"/>
          <a:ext cx="11049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447675</xdr:colOff>
      <xdr:row>2</xdr:row>
      <xdr:rowOff>152400</xdr:rowOff>
    </xdr:from>
    <xdr:to>
      <xdr:col>11</xdr:col>
      <xdr:colOff>714375</xdr:colOff>
      <xdr:row>2</xdr:row>
      <xdr:rowOff>342900</xdr:rowOff>
    </xdr:to>
    <xdr:sp>
      <xdr:nvSpPr>
        <xdr:cNvPr id="8" name="Rectangle 12">
          <a:hlinkClick r:id="rId7"/>
        </xdr:cNvPr>
        <xdr:cNvSpPr>
          <a:spLocks/>
        </xdr:cNvSpPr>
      </xdr:nvSpPr>
      <xdr:spPr>
        <a:xfrm>
          <a:off x="5362575" y="990600"/>
          <a:ext cx="2609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12</xdr:col>
      <xdr:colOff>9525</xdr:colOff>
      <xdr:row>36</xdr:row>
      <xdr:rowOff>190500</xdr:rowOff>
    </xdr:to>
    <xdr:pic>
      <xdr:nvPicPr>
        <xdr:cNvPr id="9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705850"/>
          <a:ext cx="79914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123825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105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0</xdr:rowOff>
    </xdr:from>
    <xdr:to>
      <xdr:col>11</xdr:col>
      <xdr:colOff>676275</xdr:colOff>
      <xdr:row>1</xdr:row>
      <xdr:rowOff>161925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72150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</xdr:row>
      <xdr:rowOff>276225</xdr:rowOff>
    </xdr:from>
    <xdr:to>
      <xdr:col>8</xdr:col>
      <xdr:colOff>180975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962150"/>
          <a:ext cx="21621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5</xdr:row>
      <xdr:rowOff>28575</xdr:rowOff>
    </xdr:from>
    <xdr:to>
      <xdr:col>9</xdr:col>
      <xdr:colOff>581025</xdr:colOff>
      <xdr:row>8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714500"/>
          <a:ext cx="8572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1162050</xdr:colOff>
      <xdr:row>2</xdr:row>
      <xdr:rowOff>85725</xdr:rowOff>
    </xdr:from>
    <xdr:to>
      <xdr:col>4</xdr:col>
      <xdr:colOff>361950</xdr:colOff>
      <xdr:row>4</xdr:row>
      <xdr:rowOff>57150</xdr:rowOff>
    </xdr:to>
    <xdr:sp>
      <xdr:nvSpPr>
        <xdr:cNvPr id="3" name="Rectangle 13"/>
        <xdr:cNvSpPr>
          <a:spLocks/>
        </xdr:cNvSpPr>
      </xdr:nvSpPr>
      <xdr:spPr>
        <a:xfrm>
          <a:off x="2533650" y="933450"/>
          <a:ext cx="22479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т.(044) 201 15 40, ф. (044) 201 15 49</a:t>
          </a:r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1</xdr:col>
      <xdr:colOff>1143000</xdr:colOff>
      <xdr:row>4</xdr:row>
      <xdr:rowOff>57150</xdr:rowOff>
    </xdr:to>
    <xdr:sp>
      <xdr:nvSpPr>
        <xdr:cNvPr id="4" name="Rectangle 14">
          <a:hlinkClick r:id="rId3"/>
        </xdr:cNvPr>
        <xdr:cNvSpPr>
          <a:spLocks/>
        </xdr:cNvSpPr>
      </xdr:nvSpPr>
      <xdr:spPr>
        <a:xfrm>
          <a:off x="0" y="942975"/>
          <a:ext cx="2514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</a:rPr>
            <a:t>www.plastics.ua/industrial</a:t>
          </a: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9</xdr:col>
      <xdr:colOff>790575</xdr:colOff>
      <xdr:row>3</xdr:row>
      <xdr:rowOff>238125</xdr:rowOff>
    </xdr:to>
    <xdr:sp>
      <xdr:nvSpPr>
        <xdr:cNvPr id="5" name="Rectangle 12">
          <a:hlinkClick r:id="rId4"/>
        </xdr:cNvPr>
        <xdr:cNvSpPr>
          <a:spLocks/>
        </xdr:cNvSpPr>
      </xdr:nvSpPr>
      <xdr:spPr>
        <a:xfrm>
          <a:off x="5553075" y="1114425"/>
          <a:ext cx="2619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Працюємо в Україні, Молдові та Грузії</a:t>
          </a:r>
        </a:p>
      </xdr:txBody>
    </xdr:sp>
    <xdr:clientData/>
  </xdr:twoCellAnchor>
  <xdr:twoCellAnchor>
    <xdr:from>
      <xdr:col>0</xdr:col>
      <xdr:colOff>0</xdr:colOff>
      <xdr:row>40</xdr:row>
      <xdr:rowOff>142875</xdr:rowOff>
    </xdr:from>
    <xdr:to>
      <xdr:col>9</xdr:col>
      <xdr:colOff>809625</xdr:colOff>
      <xdr:row>40</xdr:row>
      <xdr:rowOff>342900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848850"/>
          <a:ext cx="81915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1743075</xdr:colOff>
      <xdr:row>1</xdr:row>
      <xdr:rowOff>123825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114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0</xdr:rowOff>
    </xdr:from>
    <xdr:to>
      <xdr:col>9</xdr:col>
      <xdr:colOff>561975</xdr:colOff>
      <xdr:row>1</xdr:row>
      <xdr:rowOff>161925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81675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oroschuk\Downloads\13_1016_Price_Plastics_Industri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7_0618_Price_Plastics_Industr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Инженерные пластики"/>
      <sheetName val="ПТФЕ"/>
      <sheetName val="АБС"/>
      <sheetName val="ПП"/>
      <sheetName val="ПЭ-ВП"/>
      <sheetName val="ПП и ПЭ-ВП стержни"/>
      <sheetName val="ПП и ПЭ-ВП профили"/>
      <sheetName val="ВМ-ПЭ"/>
      <sheetName val="CВМ-ПЭ"/>
      <sheetName val="Play-Tec"/>
      <sheetName val="ПВХ"/>
      <sheetName val="ПВХ-П"/>
      <sheetName val="obomodulan"/>
      <sheetName val="Контакты"/>
    </sheetNames>
    <sheetDataSet>
      <sheetData sheetId="0">
        <row r="2">
          <cell r="G2">
            <v>25.6</v>
          </cell>
        </row>
        <row r="33">
          <cell r="A33" t="str">
            <v>Все цены указаны по состоянию на 13.10.2016г.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Инженерные пластики"/>
      <sheetName val="ПТФЕ"/>
      <sheetName val="АБС"/>
      <sheetName val="ПП"/>
      <sheetName val="ПЭ-ВП"/>
      <sheetName val="ПП и ПЭ-ВП стержни"/>
      <sheetName val="ПП и ПЭ-ВП профили"/>
      <sheetName val="ВМ-ПЭ"/>
      <sheetName val="CВМ-ПЭ"/>
      <sheetName val="Play-Tec"/>
      <sheetName val="ПВХ"/>
      <sheetName val="ПВХ-П"/>
      <sheetName val="obomodulan"/>
      <sheetName val="Контакты"/>
    </sheetNames>
    <sheetDataSet>
      <sheetData sheetId="0">
        <row r="2">
          <cell r="F2">
            <v>33.1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pe/pe-1000.html" TargetMode="External" /><Relationship Id="rId2" Type="http://schemas.openxmlformats.org/officeDocument/2006/relationships/hyperlink" Target="http://plastics.ua/industrial/products/engineer/polystone/polystone-m.html" TargetMode="External" /><Relationship Id="rId3" Type="http://schemas.openxmlformats.org/officeDocument/2006/relationships/hyperlink" Target="http://plastics.ua/industrial/products/engineer/polystone/polystone-m.html" TargetMode="External" /><Relationship Id="rId4" Type="http://schemas.openxmlformats.org/officeDocument/2006/relationships/hyperlink" Target="http://plastics.ua/industrial/products/engineer/polystone/polystone-m.html" TargetMode="External" /><Relationship Id="rId5" Type="http://schemas.openxmlformats.org/officeDocument/2006/relationships/hyperlink" Target="http://plastics.ua/industrial/products/construction/pe/pe-1000.html" TargetMode="External" /><Relationship Id="rId6" Type="http://schemas.openxmlformats.org/officeDocument/2006/relationships/drawing" Target="../drawings/drawing10.xml" /><Relationship Id="rId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pe/pe-play-tec/" TargetMode="External" /><Relationship Id="rId2" Type="http://schemas.openxmlformats.org/officeDocument/2006/relationships/hyperlink" Target="http://plastics.ua/industrial/products/construction/pe/pe-play-tec/" TargetMode="External" /><Relationship Id="rId3" Type="http://schemas.openxmlformats.org/officeDocument/2006/relationships/hyperlink" Target="http://plastics.ua/industrial/products/construction/pe/pe-play-tec/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pvh/tpvh/" TargetMode="External" /><Relationship Id="rId2" Type="http://schemas.openxmlformats.org/officeDocument/2006/relationships/hyperlink" Target="http://plastics.ua/industrial/products/construction/pvh/tpvh/" TargetMode="External" /><Relationship Id="rId3" Type="http://schemas.openxmlformats.org/officeDocument/2006/relationships/hyperlink" Target="http://plastics.ua/industrial/products/construction/pvh/tpvh/" TargetMode="External" /><Relationship Id="rId4" Type="http://schemas.openxmlformats.org/officeDocument/2006/relationships/hyperlink" Target="http://plastics.ua/industrial/products/construction/pe/pe-vp/" TargetMode="External" /><Relationship Id="rId5" Type="http://schemas.openxmlformats.org/officeDocument/2006/relationships/drawing" Target="../drawings/drawing12.xm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pvh/ppvh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plastik-dlya-modelno/modulan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/ms?msid=205345404205675494404.0004b1c2388450eb0519c&amp;msa=0&amp;ll=50.477841,30.506458&amp;spn=0.007879,0.01929" TargetMode="External" /><Relationship Id="rId2" Type="http://schemas.openxmlformats.org/officeDocument/2006/relationships/hyperlink" Target="http://plastics.ua/assets/images/common/maps/Kiev-Molodogvardejskaja.jpg" TargetMode="External" /><Relationship Id="rId3" Type="http://schemas.openxmlformats.org/officeDocument/2006/relationships/hyperlink" Target="http://plastics.ua/assets/images/common/maps/Vinnitsya-Map.png" TargetMode="External" /><Relationship Id="rId4" Type="http://schemas.openxmlformats.org/officeDocument/2006/relationships/hyperlink" Target="http://plastics.ua/assets/images/common/maps/Dnipropetrovsk-Map.png" TargetMode="External" /><Relationship Id="rId5" Type="http://schemas.openxmlformats.org/officeDocument/2006/relationships/hyperlink" Target="http://plastics.ua/assets/images/common/maps/Ivano-Frankivsk-Map.png" TargetMode="External" /><Relationship Id="rId6" Type="http://schemas.openxmlformats.org/officeDocument/2006/relationships/hyperlink" Target="http://plastics.ua/assets/images/common/maps/Kirovograd-Map.png" TargetMode="External" /><Relationship Id="rId7" Type="http://schemas.openxmlformats.org/officeDocument/2006/relationships/hyperlink" Target="http://plastics.ua/assets/images/common/maps/Plastics_Adv-Map-Lutsk_1.jpg" TargetMode="External" /><Relationship Id="rId8" Type="http://schemas.openxmlformats.org/officeDocument/2006/relationships/hyperlink" Target="http://plastics.ua/assets/images/common/maps/Poltava-Map.png" TargetMode="External" /><Relationship Id="rId9" Type="http://schemas.openxmlformats.org/officeDocument/2006/relationships/hyperlink" Target="http://plastics.ua/assets/images/common/maps/Odesa-Map.png" TargetMode="External" /><Relationship Id="rId10" Type="http://schemas.openxmlformats.org/officeDocument/2006/relationships/hyperlink" Target="http://plastics.ua/assets/images/common/maps/Rivne-Map.png" TargetMode="External" /><Relationship Id="rId11" Type="http://schemas.openxmlformats.org/officeDocument/2006/relationships/hyperlink" Target="http://plastics.ua/assets/images/common/maps/Plastics_Adv-Map-Kharkov.jpg" TargetMode="External" /><Relationship Id="rId12" Type="http://schemas.openxmlformats.org/officeDocument/2006/relationships/hyperlink" Target="http://plastics.ua/assets/images/common/maps/Plastics_Adv-Map-Cherson_2.jpg" TargetMode="External" /><Relationship Id="rId13" Type="http://schemas.openxmlformats.org/officeDocument/2006/relationships/hyperlink" Target="http://plastics.ua/assets/images/common/maps/Khmelnitskiy-Map.png" TargetMode="External" /><Relationship Id="rId14" Type="http://schemas.openxmlformats.org/officeDocument/2006/relationships/hyperlink" Target="http://plastics.ua/assets/images/common/maps/Cherkasy-Map.png" TargetMode="External" /><Relationship Id="rId15" Type="http://schemas.openxmlformats.org/officeDocument/2006/relationships/hyperlink" Target="http://plastics.ua/assets/images/common/maps/Plastics_Adv-Map1.jpg" TargetMode="External" /><Relationship Id="rId16" Type="http://schemas.openxmlformats.org/officeDocument/2006/relationships/hyperlink" Target="http://plastics.ua/assets/images/common/maps/Map-Krivoy-Rog-new.jpg" TargetMode="External" /><Relationship Id="rId17" Type="http://schemas.openxmlformats.org/officeDocument/2006/relationships/hyperlink" Target="http://plastics.ua/assets/images/common/maps/Uzhgorod_Bercheni_86.jpg" TargetMode="External" /><Relationship Id="rId18" Type="http://schemas.openxmlformats.org/officeDocument/2006/relationships/hyperlink" Target="http://plastics.ua/assets/images/common/maps/%D0%9A%D0%B0%D1%80%D1%82%D0%B0%20%D0%BF%D1%80%D0%BE%D0%B5%D0%B7%D0%B4%D0%B0%20%D0%A7%D0%B5%D1%80%D0%BD%D0%B8%D0%B3%D0%BE%D0%B2_%D1%80%D1%83%D1%81.jpg" TargetMode="External" /><Relationship Id="rId19" Type="http://schemas.openxmlformats.org/officeDocument/2006/relationships/hyperlink" Target="http://plastics.md/assets/images/common/maps/Plastics_Adv-Maps-Moldova.png" TargetMode="External" /><Relationship Id="rId20" Type="http://schemas.openxmlformats.org/officeDocument/2006/relationships/hyperlink" Target="http://plastics.md/assets/images/md/Plastics_Adv-Maps-Beltsy-MD.jpg" TargetMode="External" /><Relationship Id="rId21" Type="http://schemas.openxmlformats.org/officeDocument/2006/relationships/hyperlink" Target="http://plastics.ge/assets/images/common/maps/Plastics_Adv-Map-GE-2.jpg" TargetMode="External" /><Relationship Id="rId22" Type="http://schemas.openxmlformats.org/officeDocument/2006/relationships/hyperlink" Target="http://plastics.ua/assets/images/common/maps/Zapor_zhzhya-Map.png" TargetMode="External" /><Relationship Id="rId23" Type="http://schemas.openxmlformats.org/officeDocument/2006/relationships/hyperlink" Target="http://plastics.ua/assets/images/common/maps/Plastics_Adv-Map-Zhitomir.jpg" TargetMode="External" /><Relationship Id="rId24" Type="http://schemas.openxmlformats.org/officeDocument/2006/relationships/hyperlink" Target="http://plastics.ua/assets/images/news/main/Karta-proezda-Nikolaev_rus.jpg" TargetMode="External" /><Relationship Id="rId25" Type="http://schemas.openxmlformats.org/officeDocument/2006/relationships/hyperlink" Target="http://plastics.md/assets/images/md/company/Map-Komrat-md.jpg" TargetMode="External" /><Relationship Id="rId26" Type="http://schemas.openxmlformats.org/officeDocument/2006/relationships/hyperlink" Target="http://plastics.ua/assets/images/common/maps/Adv-Map-Chernovtsy-PLASTICS_ru.jpg" TargetMode="External" /><Relationship Id="rId27" Type="http://schemas.openxmlformats.org/officeDocument/2006/relationships/hyperlink" Target="https://goo.gl/maps/twiaTaMGmhn" TargetMode="External" /><Relationship Id="rId28" Type="http://schemas.openxmlformats.org/officeDocument/2006/relationships/drawing" Target="../drawings/drawing15.xml" /><Relationship Id="rId29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engineer/" TargetMode="External" /><Relationship Id="rId2" Type="http://schemas.openxmlformats.org/officeDocument/2006/relationships/hyperlink" Target="http://plastics.ua/industrial/products/engineer/poliamid/pa-6/" TargetMode="External" /><Relationship Id="rId3" Type="http://schemas.openxmlformats.org/officeDocument/2006/relationships/hyperlink" Target="http://plastics.ua/industrial/products/engineer/poliamid/pa-6/" TargetMode="External" /><Relationship Id="rId4" Type="http://schemas.openxmlformats.org/officeDocument/2006/relationships/hyperlink" Target="http://plastics.ua/industrial/products/engineer/poliamid/pa-6.6.html" TargetMode="External" /><Relationship Id="rId5" Type="http://schemas.openxmlformats.org/officeDocument/2006/relationships/hyperlink" Target="http://plastics.ua/industrial/products/engineer/poliamid/pa-6.6.html" TargetMode="External" /><Relationship Id="rId6" Type="http://schemas.openxmlformats.org/officeDocument/2006/relationships/hyperlink" Target="http://plastics.ua/industrial/products/engineer/poliamid/pa-6.6.html" TargetMode="External" /><Relationship Id="rId7" Type="http://schemas.openxmlformats.org/officeDocument/2006/relationships/hyperlink" Target="http://plastics.ua/industrial/products/engineer/poliamid/pa-6.6.html" TargetMode="External" /><Relationship Id="rId8" Type="http://schemas.openxmlformats.org/officeDocument/2006/relationships/hyperlink" Target="http://plastics.ua/industrial/products/engineer/pom/" TargetMode="External" /><Relationship Id="rId9" Type="http://schemas.openxmlformats.org/officeDocument/2006/relationships/hyperlink" Target="http://plastics.ua/industrial/products/engineer/pom/" TargetMode="External" /><Relationship Id="rId10" Type="http://schemas.openxmlformats.org/officeDocument/2006/relationships/hyperlink" Target="http://plastics.ua/industrial/products/engineer/pom/" TargetMode="External" /><Relationship Id="rId11" Type="http://schemas.openxmlformats.org/officeDocument/2006/relationships/hyperlink" Target="http://plastics.ua/industrial/products/engineer/pom/" TargetMode="External" /><Relationship Id="rId12" Type="http://schemas.openxmlformats.org/officeDocument/2006/relationships/hyperlink" Target="http://plastics.ua/industrial/products/engineer/pom/" TargetMode="External" /><Relationship Id="rId13" Type="http://schemas.openxmlformats.org/officeDocument/2006/relationships/hyperlink" Target="http://plastics.ua/industrial/products/engineer/pom/" TargetMode="External" /><Relationship Id="rId14" Type="http://schemas.openxmlformats.org/officeDocument/2006/relationships/hyperlink" Target="http://plastics.ua/industrial/products/engineer/pet/" TargetMode="External" /><Relationship Id="rId15" Type="http://schemas.openxmlformats.org/officeDocument/2006/relationships/hyperlink" Target="http://plastics.ua/industrial/products/engineer/pet/" TargetMode="External" /><Relationship Id="rId16" Type="http://schemas.openxmlformats.org/officeDocument/2006/relationships/hyperlink" Target="http://plastics.ua/industrial/products/engineer/peek/" TargetMode="External" /><Relationship Id="rId17" Type="http://schemas.openxmlformats.org/officeDocument/2006/relationships/hyperlink" Target="http://plastics.ua/industrial/products/engineer/peek/" TargetMode="External" /><Relationship Id="rId18" Type="http://schemas.openxmlformats.org/officeDocument/2006/relationships/hyperlink" Target="http://plastics.ua/industrial/products/engineer/peek/" TargetMode="External" /><Relationship Id="rId19" Type="http://schemas.openxmlformats.org/officeDocument/2006/relationships/hyperlink" Target="http://plastics.ua/industrial/products/engineer/peek/" TargetMode="External" /><Relationship Id="rId20" Type="http://schemas.openxmlformats.org/officeDocument/2006/relationships/hyperlink" Target="http://plastics.ua/industrial/products/engineer/pei/" TargetMode="External" /><Relationship Id="rId21" Type="http://schemas.openxmlformats.org/officeDocument/2006/relationships/hyperlink" Target="http://plastics.ua/industrial/products/engineer/pei/" TargetMode="External" /><Relationship Id="rId22" Type="http://schemas.openxmlformats.org/officeDocument/2006/relationships/hyperlink" Target="http://plastics.ua/industrial/products/engineer/pfs/" TargetMode="External" /><Relationship Id="rId23" Type="http://schemas.openxmlformats.org/officeDocument/2006/relationships/hyperlink" Target="http://plastics.ua/industrial/products/engineer/pfs/" TargetMode="External" /><Relationship Id="rId24" Type="http://schemas.openxmlformats.org/officeDocument/2006/relationships/hyperlink" Target="http://plastics.ua/industrial/products/engineer/pfsu/" TargetMode="Externa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ua/products/engineer/ftoroplast-teflon/http:/plastics.ua/industrial/ua/products/engineer/ftoroplast-teflon/" TargetMode="External" /><Relationship Id="rId2" Type="http://schemas.openxmlformats.org/officeDocument/2006/relationships/hyperlink" Target="http://plastics.ua/industrial/products/engineer/poliamid/pa-6/" TargetMode="External" /><Relationship Id="rId3" Type="http://schemas.openxmlformats.org/officeDocument/2006/relationships/hyperlink" Target="http://plastics.ua/industrial/ua/products/engineer/ftoroplast-teflon/http:/plastics.ua/industrial/ua/products/engineer/ftoroplast-teflon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abs/abs/" TargetMode="External" /><Relationship Id="rId2" Type="http://schemas.openxmlformats.org/officeDocument/2006/relationships/hyperlink" Target="http://plastics.ua/industrial/products/construction/abs/pmma-abs/" TargetMode="External" /><Relationship Id="rId3" Type="http://schemas.openxmlformats.org/officeDocument/2006/relationships/hyperlink" Target="http://plastics.ua/industrial/products/construction/abs/pmma-abs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pp/" TargetMode="External" /><Relationship Id="rId2" Type="http://schemas.openxmlformats.org/officeDocument/2006/relationships/hyperlink" Target="http://plastics.ua/industrial/products/construction/pp/" TargetMode="External" /><Relationship Id="rId3" Type="http://schemas.openxmlformats.org/officeDocument/2006/relationships/hyperlink" Target="http://plastics.ua/industrial/products/construction/pp/" TargetMode="External" /><Relationship Id="rId4" Type="http://schemas.openxmlformats.org/officeDocument/2006/relationships/hyperlink" Target="http://plastics.ua/industrial/products/construction/pp/" TargetMode="External" /><Relationship Id="rId5" Type="http://schemas.openxmlformats.org/officeDocument/2006/relationships/hyperlink" Target="http://plastics.ua/industrial/products/construction/pp/" TargetMode="External" /><Relationship Id="rId6" Type="http://schemas.openxmlformats.org/officeDocument/2006/relationships/hyperlink" Target="http://plastics.ua/industrial/products/construction/pp/" TargetMode="External" /><Relationship Id="rId7" Type="http://schemas.openxmlformats.org/officeDocument/2006/relationships/hyperlink" Target="http://plastics.ua/industrial/products/construction/pp/" TargetMode="External" /><Relationship Id="rId8" Type="http://schemas.openxmlformats.org/officeDocument/2006/relationships/hyperlink" Target="http://plastics.ua/industrial/products/construction/pp/" TargetMode="External" /><Relationship Id="rId9" Type="http://schemas.openxmlformats.org/officeDocument/2006/relationships/hyperlink" Target="http://plastics.ua/industrial/products/construction/pp/" TargetMode="Externa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pe/pe-vp/" TargetMode="External" /><Relationship Id="rId2" Type="http://schemas.openxmlformats.org/officeDocument/2006/relationships/hyperlink" Target="http://plastics.ua/industrial/products/construction/pe/pe-vp/" TargetMode="External" /><Relationship Id="rId3" Type="http://schemas.openxmlformats.org/officeDocument/2006/relationships/hyperlink" Target="http://plastics.ua/industrial/products/construction/pe/pe-vp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pp/" TargetMode="External" /><Relationship Id="rId2" Type="http://schemas.openxmlformats.org/officeDocument/2006/relationships/hyperlink" Target="http://plastics.ua/industrial/products/construction/pe/pe-vp/" TargetMode="External" /><Relationship Id="rId3" Type="http://schemas.openxmlformats.org/officeDocument/2006/relationships/hyperlink" Target="http://plastics.ua/industrial/products/construction/pp/" TargetMode="External" /><Relationship Id="rId4" Type="http://schemas.openxmlformats.org/officeDocument/2006/relationships/hyperlink" Target="http://plastics.ua/industrial/products/construction/pe/pe-vp/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&#1055;&#1086;&#1083;&#1080;&#1087;&#1088;&#1086;&#1087;&#1080;&#1083;&#1077;&#1085;" TargetMode="External" /><Relationship Id="rId2" Type="http://schemas.openxmlformats.org/officeDocument/2006/relationships/hyperlink" Target="http://plastics.ua/industrial/&#1055;&#1086;&#1083;&#1080;&#1101;&#1090;&#1080;&#1083;&#1077;&#1085;%20&#1042;&#1055;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industrial/products/construction/pe/pe-500/" TargetMode="External" /><Relationship Id="rId2" Type="http://schemas.openxmlformats.org/officeDocument/2006/relationships/hyperlink" Target="http://plastics.ua/industrial/products/construction/pe/pe-500/" TargetMode="External" /><Relationship Id="rId3" Type="http://schemas.openxmlformats.org/officeDocument/2006/relationships/hyperlink" Target="http://plastics.ua/industrial/products/construction/pe/pe-500/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32"/>
  <sheetViews>
    <sheetView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13" sqref="H13"/>
    </sheetView>
  </sheetViews>
  <sheetFormatPr defaultColWidth="9.140625" defaultRowHeight="19.5" customHeight="1"/>
  <cols>
    <col min="1" max="1" width="27.140625" style="1" customWidth="1"/>
    <col min="2" max="2" width="33.140625" style="1" customWidth="1"/>
    <col min="3" max="3" width="26.57421875" style="1" customWidth="1"/>
    <col min="4" max="4" width="32.8515625" style="1" customWidth="1"/>
    <col min="5" max="16384" width="9.140625" style="1" customWidth="1"/>
  </cols>
  <sheetData>
    <row r="1" spans="1:3" ht="74.25" customHeight="1">
      <c r="A1" s="383"/>
      <c r="B1" s="383"/>
      <c r="C1" s="2"/>
    </row>
    <row r="2" spans="1:7" s="3" customFormat="1" ht="24" customHeight="1">
      <c r="A2" s="384"/>
      <c r="B2" s="384" t="s">
        <v>0</v>
      </c>
      <c r="C2" s="384"/>
      <c r="D2" s="384" t="s">
        <v>1</v>
      </c>
      <c r="F2" s="4">
        <v>29.4</v>
      </c>
      <c r="G2" s="4">
        <v>26</v>
      </c>
    </row>
    <row r="3" spans="1:4" ht="34.5" customHeight="1">
      <c r="A3" s="385" t="s">
        <v>168</v>
      </c>
      <c r="B3" s="385"/>
      <c r="C3" s="385"/>
      <c r="D3" s="385"/>
    </row>
    <row r="4" spans="1:4" ht="19.5" customHeight="1">
      <c r="A4" s="386" t="s">
        <v>176</v>
      </c>
      <c r="B4" s="6" t="s">
        <v>169</v>
      </c>
      <c r="C4" s="343" t="s">
        <v>2</v>
      </c>
      <c r="D4" s="388"/>
    </row>
    <row r="5" spans="1:4" ht="19.5" customHeight="1">
      <c r="A5" s="386"/>
      <c r="B5" s="6" t="s">
        <v>170</v>
      </c>
      <c r="C5" s="343" t="s">
        <v>3</v>
      </c>
      <c r="D5" s="388"/>
    </row>
    <row r="6" spans="1:4" ht="19.5" customHeight="1">
      <c r="A6" s="386"/>
      <c r="B6" s="6" t="s">
        <v>171</v>
      </c>
      <c r="C6" s="343" t="s">
        <v>4</v>
      </c>
      <c r="D6" s="388"/>
    </row>
    <row r="7" spans="1:4" ht="19.5" customHeight="1">
      <c r="A7" s="386"/>
      <c r="B7" s="6" t="s">
        <v>172</v>
      </c>
      <c r="C7" s="343" t="s">
        <v>5</v>
      </c>
      <c r="D7" s="388"/>
    </row>
    <row r="8" spans="1:4" ht="19.5" customHeight="1">
      <c r="A8" s="386"/>
      <c r="B8" s="6" t="s">
        <v>173</v>
      </c>
      <c r="C8" s="343" t="s">
        <v>6</v>
      </c>
      <c r="D8" s="388"/>
    </row>
    <row r="9" spans="1:4" ht="19.5" customHeight="1">
      <c r="A9" s="386"/>
      <c r="B9" s="6" t="s">
        <v>189</v>
      </c>
      <c r="C9" s="343" t="s">
        <v>7</v>
      </c>
      <c r="D9" s="388"/>
    </row>
    <row r="10" spans="1:4" ht="19.5" customHeight="1">
      <c r="A10" s="386"/>
      <c r="B10" s="6" t="s">
        <v>174</v>
      </c>
      <c r="C10" s="343" t="s">
        <v>8</v>
      </c>
      <c r="D10" s="388"/>
    </row>
    <row r="11" spans="1:4" ht="19.5" customHeight="1">
      <c r="A11" s="386"/>
      <c r="B11" s="6" t="s">
        <v>175</v>
      </c>
      <c r="C11" s="343" t="s">
        <v>9</v>
      </c>
      <c r="D11" s="388"/>
    </row>
    <row r="12" spans="1:4" ht="19.5" customHeight="1">
      <c r="A12" s="387"/>
      <c r="B12" s="6" t="s">
        <v>530</v>
      </c>
      <c r="C12" s="343" t="s">
        <v>531</v>
      </c>
      <c r="D12" s="389"/>
    </row>
    <row r="13" spans="1:4" ht="96.75" customHeight="1">
      <c r="A13" s="386" t="s">
        <v>178</v>
      </c>
      <c r="B13" s="6" t="s">
        <v>10</v>
      </c>
      <c r="C13" s="8" t="s">
        <v>11</v>
      </c>
      <c r="D13" s="3"/>
    </row>
    <row r="14" spans="1:4" ht="39" customHeight="1">
      <c r="A14" s="386"/>
      <c r="B14" s="390" t="s">
        <v>12</v>
      </c>
      <c r="C14" s="391" t="s">
        <v>13</v>
      </c>
      <c r="D14" s="392"/>
    </row>
    <row r="15" spans="1:4" ht="39.75" customHeight="1">
      <c r="A15" s="386"/>
      <c r="B15" s="390"/>
      <c r="C15" s="391"/>
      <c r="D15" s="392"/>
    </row>
    <row r="16" spans="1:4" ht="19.5" customHeight="1">
      <c r="A16" s="386" t="s">
        <v>179</v>
      </c>
      <c r="B16" s="6" t="s">
        <v>14</v>
      </c>
      <c r="C16" s="343" t="s">
        <v>15</v>
      </c>
      <c r="D16" s="392"/>
    </row>
    <row r="17" spans="1:4" ht="19.5" customHeight="1">
      <c r="A17" s="386"/>
      <c r="B17" s="6" t="s">
        <v>190</v>
      </c>
      <c r="C17" s="9" t="s">
        <v>16</v>
      </c>
      <c r="D17" s="392"/>
    </row>
    <row r="18" spans="1:4" ht="19.5" customHeight="1">
      <c r="A18" s="386"/>
      <c r="B18" s="6" t="s">
        <v>191</v>
      </c>
      <c r="C18" s="9" t="s">
        <v>17</v>
      </c>
      <c r="D18" s="392"/>
    </row>
    <row r="19" spans="1:4" ht="19.5" customHeight="1">
      <c r="A19" s="386"/>
      <c r="B19" s="6" t="s">
        <v>192</v>
      </c>
      <c r="C19" s="9" t="s">
        <v>18</v>
      </c>
      <c r="D19" s="392"/>
    </row>
    <row r="20" spans="1:4" ht="19.5" customHeight="1">
      <c r="A20" s="386"/>
      <c r="B20" s="6" t="s">
        <v>193</v>
      </c>
      <c r="C20" s="343" t="s">
        <v>15</v>
      </c>
      <c r="D20" s="392"/>
    </row>
    <row r="21" spans="1:4" ht="19.5" customHeight="1">
      <c r="A21" s="386"/>
      <c r="B21" s="6" t="s">
        <v>194</v>
      </c>
      <c r="C21" s="7" t="s">
        <v>15</v>
      </c>
      <c r="D21" s="392"/>
    </row>
    <row r="22" spans="1:4" ht="19.5" customHeight="1">
      <c r="A22" s="386"/>
      <c r="B22" s="6" t="s">
        <v>195</v>
      </c>
      <c r="C22" s="343" t="s">
        <v>15</v>
      </c>
      <c r="D22" s="392"/>
    </row>
    <row r="23" spans="1:4" ht="19.5" customHeight="1">
      <c r="A23" s="386" t="s">
        <v>182</v>
      </c>
      <c r="B23" s="6" t="s">
        <v>203</v>
      </c>
      <c r="C23" s="343" t="s">
        <v>19</v>
      </c>
      <c r="D23" s="392"/>
    </row>
    <row r="24" spans="1:4" ht="19.5" customHeight="1">
      <c r="A24" s="386"/>
      <c r="B24" s="6" t="s">
        <v>205</v>
      </c>
      <c r="C24" s="343" t="s">
        <v>19</v>
      </c>
      <c r="D24" s="392"/>
    </row>
    <row r="25" spans="1:4" ht="19.5" customHeight="1">
      <c r="A25" s="386"/>
      <c r="B25" s="6" t="s">
        <v>206</v>
      </c>
      <c r="C25" s="343" t="s">
        <v>20</v>
      </c>
      <c r="D25" s="392"/>
    </row>
    <row r="26" spans="1:4" ht="19.5" customHeight="1">
      <c r="A26" s="386"/>
      <c r="B26" s="6" t="s">
        <v>210</v>
      </c>
      <c r="C26" s="343" t="s">
        <v>21</v>
      </c>
      <c r="D26" s="392"/>
    </row>
    <row r="27" spans="1:4" ht="19.5" customHeight="1">
      <c r="A27" s="386"/>
      <c r="B27" s="6" t="s">
        <v>211</v>
      </c>
      <c r="C27" s="343" t="s">
        <v>22</v>
      </c>
      <c r="D27" s="392"/>
    </row>
    <row r="28" spans="1:3" ht="78" customHeight="1">
      <c r="A28" s="5" t="s">
        <v>185</v>
      </c>
      <c r="B28" s="10" t="s">
        <v>213</v>
      </c>
      <c r="C28" s="9" t="s">
        <v>23</v>
      </c>
    </row>
    <row r="29" spans="1:3" ht="71.25" customHeight="1">
      <c r="A29" s="386" t="s">
        <v>186</v>
      </c>
      <c r="B29" s="6" t="s">
        <v>214</v>
      </c>
      <c r="C29" s="9" t="s">
        <v>24</v>
      </c>
    </row>
    <row r="30" spans="1:3" ht="94.5" customHeight="1">
      <c r="A30" s="386"/>
      <c r="B30" s="6" t="s">
        <v>215</v>
      </c>
      <c r="C30" s="9" t="s">
        <v>25</v>
      </c>
    </row>
    <row r="31" spans="1:3" ht="77.25" customHeight="1">
      <c r="A31" s="5" t="s">
        <v>188</v>
      </c>
      <c r="B31" s="10" t="s">
        <v>232</v>
      </c>
      <c r="C31" s="9" t="s">
        <v>26</v>
      </c>
    </row>
    <row r="32" ht="19.5" customHeight="1">
      <c r="A32" s="11" t="s">
        <v>546</v>
      </c>
    </row>
  </sheetData>
  <sheetProtection selectLockedCells="1" selectUnlockedCells="1"/>
  <mergeCells count="14">
    <mergeCell ref="A29:A30"/>
    <mergeCell ref="A16:A22"/>
    <mergeCell ref="D16:D22"/>
    <mergeCell ref="A23:A27"/>
    <mergeCell ref="D23:D27"/>
    <mergeCell ref="A1:B1"/>
    <mergeCell ref="A2:D2"/>
    <mergeCell ref="A3:D3"/>
    <mergeCell ref="A4:A12"/>
    <mergeCell ref="D4:D12"/>
    <mergeCell ref="A13:A15"/>
    <mergeCell ref="B14:B15"/>
    <mergeCell ref="C14:C15"/>
    <mergeCell ref="D14:D15"/>
  </mergeCells>
  <hyperlinks>
    <hyperlink ref="D2" location="!нтакты" display="22 офиса в городах Украины!"/>
    <hyperlink ref="C4" location="'Інженерні пластики'!R1C1" display="TM Zellamid® 202"/>
    <hyperlink ref="C5" location="'Інженерні пластики'!R1C1" display="TM Zellamid® 250"/>
    <hyperlink ref="C6" location="'Інженерні пластики'!R1C1" display="TM Zellamid® 900"/>
    <hyperlink ref="C7" location="'Інженерні пластики'!R1C1" display="TM Zellamid® 1400"/>
    <hyperlink ref="C8" location="'Інженерні пластики'!R1C1" display="TM Zellamid® 1500"/>
    <hyperlink ref="C9" location="'Інженерні пластики'!R1C1" display="TM Zellamid® 1000"/>
    <hyperlink ref="C10" location="'Інженерні пластики'!R1C1" display="TM Zellamid® 1900"/>
    <hyperlink ref="C11" location="'Інженерні пластики'!R1C1" display="TM Zellamid® 2100"/>
    <hyperlink ref="C13" location="АБС!A10" display="TM Quinn®"/>
    <hyperlink ref="C16" location="ПП!R1C1" display="TM Polystone® P"/>
    <hyperlink ref="C17" location="ПП!A26" display="TM Polystone® P UV"/>
    <hyperlink ref="C18" location="ПП!A41" display="TM Polystone® P Foamlite"/>
    <hyperlink ref="C19" location="ПП!A57" display="TM Quattro®"/>
    <hyperlink ref="C20" location="ПП!R1C1" display="TM Polystone® P"/>
    <hyperlink ref="C21" location="'ПП и ПЭ-ВП стержни'!A6" display="TM Polystone® P"/>
    <hyperlink ref="C22" location="ПП!R1C1" display="TM Polystone® P"/>
    <hyperlink ref="C23" location="'ПЕ-ВП'!R1C1" display="ТМ Polystone® G"/>
    <hyperlink ref="C24" location="'ПЕ-ВП'!R1C1" display="ТМ Polystone® G"/>
    <hyperlink ref="C25" location="'ПЕ-ВП'!R1C1" display="TM Polystone® G"/>
    <hyperlink ref="C26" location="'ПЕ-ВП'!R1C1" display="ТМ Polystone® D"/>
    <hyperlink ref="C27" location="'ПЕ-ВП'!R1C1" display="ТМ Polystone® M"/>
    <hyperlink ref="C28" location="Play-Tec!A1" display="TM Polystone® Play-Tec"/>
    <hyperlink ref="C29" location="ПВХ!A10" display="TM Trovidur®"/>
    <hyperlink ref="C30" location="ПВХ-П!A1" display="TM Jedi®"/>
    <hyperlink ref="C31" location="obomodulan!A1" display="TM obomodulan®"/>
    <hyperlink ref="C12" location="ПТФЕ!R1C1" display="ПТФЕ"/>
    <hyperlink ref="C14:C15" location="АБС!R1C1" display="TM Senosan®"/>
  </hyperlinks>
  <printOptions/>
  <pageMargins left="0.9840277777777777" right="0.39375" top="0.39375" bottom="0.39375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R112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20.57421875" style="48" customWidth="1"/>
    <col min="2" max="2" width="31.28125" style="48" customWidth="1"/>
    <col min="3" max="3" width="15.28125" style="48" customWidth="1"/>
    <col min="4" max="4" width="5.7109375" style="48" customWidth="1"/>
    <col min="5" max="5" width="8.28125" style="48" customWidth="1"/>
    <col min="6" max="6" width="8.00390625" style="48" customWidth="1"/>
    <col min="7" max="7" width="9.8515625" style="48" customWidth="1"/>
    <col min="8" max="8" width="9.28125" style="48" customWidth="1"/>
    <col min="9" max="9" width="10.8515625" style="48" customWidth="1"/>
    <col min="10" max="10" width="12.28125" style="48" customWidth="1"/>
    <col min="11" max="11" width="9.28125" style="48" customWidth="1"/>
    <col min="12" max="16384" width="9.140625" style="48" customWidth="1"/>
  </cols>
  <sheetData>
    <row r="1" spans="1:11" ht="4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3" s="14" customFormat="1" ht="21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110"/>
      <c r="M2" s="111"/>
    </row>
    <row r="3" spans="1:13" s="14" customFormat="1" ht="17.2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8"/>
    </row>
    <row r="4" spans="1:10" s="14" customFormat="1" ht="33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</row>
    <row r="5" spans="1:10" ht="15.75" customHeight="1">
      <c r="A5" s="454" t="s">
        <v>212</v>
      </c>
      <c r="B5" s="454"/>
      <c r="C5" s="454"/>
      <c r="D5" s="454"/>
      <c r="E5" s="454"/>
      <c r="F5" s="454"/>
      <c r="G5" s="454"/>
      <c r="H5" s="454"/>
      <c r="I5" s="454"/>
      <c r="J5" s="454"/>
    </row>
    <row r="6" spans="1:10" ht="6" customHeight="1">
      <c r="A6" s="174"/>
      <c r="B6" s="175"/>
      <c r="C6" s="116"/>
      <c r="D6" s="116"/>
      <c r="E6" s="116"/>
      <c r="F6" s="116"/>
      <c r="G6" s="109"/>
      <c r="H6" s="109"/>
      <c r="I6" s="109"/>
      <c r="J6" s="109"/>
    </row>
    <row r="7" spans="1:10" ht="26.25" customHeight="1">
      <c r="A7" s="447" t="s">
        <v>114</v>
      </c>
      <c r="B7" s="447"/>
      <c r="C7" s="447"/>
      <c r="D7" s="447"/>
      <c r="E7" s="140"/>
      <c r="F7" s="140"/>
      <c r="G7" s="140"/>
      <c r="H7" s="140"/>
      <c r="I7" s="486"/>
      <c r="J7" s="486"/>
    </row>
    <row r="8" spans="1:10" ht="16.5" customHeight="1">
      <c r="A8" s="408" t="s">
        <v>332</v>
      </c>
      <c r="B8" s="408"/>
      <c r="C8" s="408"/>
      <c r="D8" s="408"/>
      <c r="E8" s="140"/>
      <c r="F8" s="140"/>
      <c r="G8" s="140"/>
      <c r="H8" s="140"/>
      <c r="I8" s="486"/>
      <c r="J8" s="486"/>
    </row>
    <row r="9" spans="1:10" ht="15.75" customHeight="1">
      <c r="A9" s="416" t="s">
        <v>390</v>
      </c>
      <c r="B9" s="416"/>
      <c r="C9" s="416"/>
      <c r="D9" s="416"/>
      <c r="E9" s="416"/>
      <c r="F9" s="416"/>
      <c r="G9" s="140"/>
      <c r="H9" s="140"/>
      <c r="I9" s="486"/>
      <c r="J9" s="486"/>
    </row>
    <row r="10" spans="1:10" ht="15.75" customHeight="1">
      <c r="A10" s="417" t="s">
        <v>199</v>
      </c>
      <c r="B10" s="417"/>
      <c r="C10" s="417"/>
      <c r="D10" s="417"/>
      <c r="E10" s="140"/>
      <c r="F10" s="140"/>
      <c r="G10" s="140"/>
      <c r="H10" s="140"/>
      <c r="I10" s="486"/>
      <c r="J10" s="486"/>
    </row>
    <row r="11" spans="1:10" ht="12.75" customHeight="1">
      <c r="A11" s="65"/>
      <c r="B11" s="65"/>
      <c r="C11" s="65"/>
      <c r="D11" s="65"/>
      <c r="E11" s="65"/>
      <c r="F11" s="65"/>
      <c r="G11" s="109"/>
      <c r="H11" s="109"/>
      <c r="I11" s="109"/>
      <c r="J11" s="109"/>
    </row>
    <row r="12" spans="1:11" ht="95.25" customHeight="1">
      <c r="A12" s="141" t="s">
        <v>222</v>
      </c>
      <c r="B12" s="141" t="s">
        <v>312</v>
      </c>
      <c r="C12" s="142" t="s">
        <v>314</v>
      </c>
      <c r="D12" s="142" t="s">
        <v>315</v>
      </c>
      <c r="E12" s="142" t="s">
        <v>78</v>
      </c>
      <c r="F12" s="142" t="s">
        <v>317</v>
      </c>
      <c r="G12" s="142" t="s">
        <v>328</v>
      </c>
      <c r="H12" s="176" t="s">
        <v>323</v>
      </c>
      <c r="I12" s="177" t="s">
        <v>338</v>
      </c>
      <c r="J12" s="177" t="s">
        <v>322</v>
      </c>
      <c r="K12" s="58"/>
    </row>
    <row r="13" spans="1:11" ht="19.5" customHeight="1">
      <c r="A13" s="491" t="s">
        <v>391</v>
      </c>
      <c r="B13" s="491"/>
      <c r="C13" s="491"/>
      <c r="D13" s="491"/>
      <c r="E13" s="491"/>
      <c r="F13" s="491"/>
      <c r="G13" s="491"/>
      <c r="H13" s="493" t="s">
        <v>269</v>
      </c>
      <c r="I13" s="493"/>
      <c r="J13" s="493"/>
      <c r="K13" s="58"/>
    </row>
    <row r="14" spans="1:11" ht="15" customHeight="1">
      <c r="A14" s="492" t="s">
        <v>200</v>
      </c>
      <c r="B14" s="492" t="s">
        <v>283</v>
      </c>
      <c r="C14" s="144">
        <v>0.93</v>
      </c>
      <c r="D14" s="145">
        <v>1</v>
      </c>
      <c r="E14" s="146">
        <v>1000</v>
      </c>
      <c r="F14" s="146">
        <v>2000</v>
      </c>
      <c r="G14" s="178">
        <f aca="true" t="shared" si="0" ref="G14:G20">D14/1000*C14*1000</f>
        <v>0.93</v>
      </c>
      <c r="H14" s="147">
        <f aca="true" t="shared" si="1" ref="H14:H20">D14/1000*E14/1000*F14/1000*C14*1000</f>
        <v>1.86</v>
      </c>
      <c r="I14" s="149">
        <f aca="true" t="shared" si="2" ref="I14:I20">H14*K14</f>
        <v>658.9422</v>
      </c>
      <c r="J14" s="150">
        <f aca="true" t="shared" si="3" ref="J14:J20">I14/(F14*E14/1000000)</f>
        <v>329.4711</v>
      </c>
      <c r="K14" s="58">
        <f>Головна!F2*12.05</f>
        <v>354.27</v>
      </c>
    </row>
    <row r="15" spans="1:11" ht="15.75">
      <c r="A15" s="492"/>
      <c r="B15" s="492"/>
      <c r="C15" s="155">
        <v>0.93</v>
      </c>
      <c r="D15" s="156">
        <v>2</v>
      </c>
      <c r="E15" s="157">
        <v>1000</v>
      </c>
      <c r="F15" s="157">
        <v>2000</v>
      </c>
      <c r="G15" s="179">
        <f t="shared" si="0"/>
        <v>1.86</v>
      </c>
      <c r="H15" s="158">
        <f t="shared" si="1"/>
        <v>3.72</v>
      </c>
      <c r="I15" s="168">
        <f t="shared" si="2"/>
        <v>1089.30528</v>
      </c>
      <c r="J15" s="159">
        <f t="shared" si="3"/>
        <v>544.65264</v>
      </c>
      <c r="K15" s="58">
        <f>Головна!F2*9.96</f>
        <v>292.824</v>
      </c>
    </row>
    <row r="16" spans="1:11" ht="15">
      <c r="A16" s="492"/>
      <c r="B16" s="492"/>
      <c r="C16" s="151">
        <v>0.93</v>
      </c>
      <c r="D16" s="152">
        <v>3</v>
      </c>
      <c r="E16" s="153">
        <v>1000</v>
      </c>
      <c r="F16" s="153">
        <v>2000</v>
      </c>
      <c r="G16" s="180">
        <f t="shared" si="0"/>
        <v>2.7900000000000005</v>
      </c>
      <c r="H16" s="154">
        <f t="shared" si="1"/>
        <v>5.580000000000001</v>
      </c>
      <c r="I16" s="149">
        <f t="shared" si="2"/>
        <v>1323.8996400000003</v>
      </c>
      <c r="J16" s="150">
        <f t="shared" si="3"/>
        <v>661.9498200000002</v>
      </c>
      <c r="K16" s="58">
        <f>Головна!F2*8.07</f>
        <v>237.258</v>
      </c>
    </row>
    <row r="17" spans="1:11" ht="15.75">
      <c r="A17" s="492"/>
      <c r="B17" s="492"/>
      <c r="C17" s="155">
        <v>0.93</v>
      </c>
      <c r="D17" s="156">
        <v>4</v>
      </c>
      <c r="E17" s="157">
        <v>1000</v>
      </c>
      <c r="F17" s="157">
        <v>2000</v>
      </c>
      <c r="G17" s="179">
        <f t="shared" si="0"/>
        <v>3.72</v>
      </c>
      <c r="H17" s="158">
        <f t="shared" si="1"/>
        <v>7.44</v>
      </c>
      <c r="I17" s="168">
        <f t="shared" si="2"/>
        <v>1765.1995200000001</v>
      </c>
      <c r="J17" s="159">
        <f t="shared" si="3"/>
        <v>882.5997600000001</v>
      </c>
      <c r="K17" s="58">
        <f>Головна!F2*8.07</f>
        <v>237.258</v>
      </c>
    </row>
    <row r="18" spans="1:11" ht="15.75">
      <c r="A18" s="492"/>
      <c r="B18" s="492"/>
      <c r="C18" s="155">
        <v>0.93</v>
      </c>
      <c r="D18" s="156">
        <v>5</v>
      </c>
      <c r="E18" s="157">
        <v>1000</v>
      </c>
      <c r="F18" s="157">
        <v>2000</v>
      </c>
      <c r="G18" s="179">
        <f t="shared" si="0"/>
        <v>4.65</v>
      </c>
      <c r="H18" s="158">
        <f t="shared" si="1"/>
        <v>9.3</v>
      </c>
      <c r="I18" s="168">
        <f t="shared" si="2"/>
        <v>2206.4994</v>
      </c>
      <c r="J18" s="159">
        <f t="shared" si="3"/>
        <v>1103.2497</v>
      </c>
      <c r="K18" s="58">
        <f>Головна!F2*8.07</f>
        <v>237.258</v>
      </c>
    </row>
    <row r="19" spans="1:11" ht="15">
      <c r="A19" s="492"/>
      <c r="B19" s="492"/>
      <c r="C19" s="151">
        <v>0.93</v>
      </c>
      <c r="D19" s="152">
        <v>6</v>
      </c>
      <c r="E19" s="153">
        <v>1000</v>
      </c>
      <c r="F19" s="153">
        <v>2000</v>
      </c>
      <c r="G19" s="180">
        <f t="shared" si="0"/>
        <v>5.580000000000001</v>
      </c>
      <c r="H19" s="154">
        <f t="shared" si="1"/>
        <v>11.160000000000002</v>
      </c>
      <c r="I19" s="149">
        <f t="shared" si="2"/>
        <v>2647.7992800000006</v>
      </c>
      <c r="J19" s="150">
        <f t="shared" si="3"/>
        <v>1323.8996400000003</v>
      </c>
      <c r="K19" s="58">
        <f>Головна!F2*8.07</f>
        <v>237.258</v>
      </c>
    </row>
    <row r="20" spans="1:11" ht="15">
      <c r="A20" s="492"/>
      <c r="B20" s="492"/>
      <c r="C20" s="160">
        <v>0.93</v>
      </c>
      <c r="D20" s="161">
        <v>8</v>
      </c>
      <c r="E20" s="162">
        <v>1000</v>
      </c>
      <c r="F20" s="162">
        <v>2000</v>
      </c>
      <c r="G20" s="181">
        <f t="shared" si="0"/>
        <v>7.44</v>
      </c>
      <c r="H20" s="164">
        <f t="shared" si="1"/>
        <v>14.88</v>
      </c>
      <c r="I20" s="149">
        <f t="shared" si="2"/>
        <v>3530.3990400000002</v>
      </c>
      <c r="J20" s="150">
        <f t="shared" si="3"/>
        <v>1765.1995200000001</v>
      </c>
      <c r="K20" s="58">
        <f>Головна!F2*8.07</f>
        <v>237.258</v>
      </c>
    </row>
    <row r="21" spans="1:11" ht="16.5" customHeight="1">
      <c r="A21" s="489" t="s">
        <v>395</v>
      </c>
      <c r="B21" s="489"/>
      <c r="C21" s="489"/>
      <c r="D21" s="489"/>
      <c r="E21" s="489"/>
      <c r="F21" s="489"/>
      <c r="G21" s="489"/>
      <c r="H21" s="493" t="s">
        <v>269</v>
      </c>
      <c r="I21" s="493"/>
      <c r="J21" s="493"/>
      <c r="K21" s="34" t="s">
        <v>226</v>
      </c>
    </row>
    <row r="22" spans="1:11" ht="15.75" customHeight="1">
      <c r="A22" s="495" t="s">
        <v>201</v>
      </c>
      <c r="B22" s="495" t="s">
        <v>283</v>
      </c>
      <c r="C22" s="169">
        <v>0.93</v>
      </c>
      <c r="D22" s="183">
        <v>10</v>
      </c>
      <c r="E22" s="183">
        <v>1250</v>
      </c>
      <c r="F22" s="183">
        <v>3000</v>
      </c>
      <c r="G22" s="169">
        <f aca="true" t="shared" si="4" ref="G22:G36">D22/1000*C22*1000</f>
        <v>9.3</v>
      </c>
      <c r="H22" s="169">
        <f aca="true" t="shared" si="5" ref="H22:H36">D22/1000*E22/1000*F22/1000*C22*1000</f>
        <v>34.875</v>
      </c>
      <c r="I22" s="169">
        <f aca="true" t="shared" si="6" ref="I22:I36">H22*K22</f>
        <v>8458.93125</v>
      </c>
      <c r="J22" s="169">
        <f aca="true" t="shared" si="7" ref="J22:J36">I22/(F22*E22/1000000)</f>
        <v>2255.7149999999997</v>
      </c>
      <c r="K22" s="58">
        <f>Головна!F2*8.25</f>
        <v>242.54999999999998</v>
      </c>
    </row>
    <row r="23" spans="1:11" ht="15.75">
      <c r="A23" s="495"/>
      <c r="B23" s="495"/>
      <c r="C23" s="155">
        <v>0.93</v>
      </c>
      <c r="D23" s="156">
        <v>12</v>
      </c>
      <c r="E23" s="156">
        <v>1250</v>
      </c>
      <c r="F23" s="156">
        <v>3000</v>
      </c>
      <c r="G23" s="155">
        <f t="shared" si="4"/>
        <v>11.160000000000002</v>
      </c>
      <c r="H23" s="155">
        <f t="shared" si="5"/>
        <v>41.85</v>
      </c>
      <c r="I23" s="155">
        <f t="shared" si="6"/>
        <v>10150.717499999999</v>
      </c>
      <c r="J23" s="155">
        <f t="shared" si="7"/>
        <v>2706.8579999999997</v>
      </c>
      <c r="K23" s="58">
        <f>Головна!F2*8.25</f>
        <v>242.54999999999998</v>
      </c>
    </row>
    <row r="24" spans="1:11" ht="15.75">
      <c r="A24" s="495"/>
      <c r="B24" s="495"/>
      <c r="C24" s="155">
        <v>0.93</v>
      </c>
      <c r="D24" s="156">
        <v>15</v>
      </c>
      <c r="E24" s="156">
        <v>1250</v>
      </c>
      <c r="F24" s="156">
        <v>3000</v>
      </c>
      <c r="G24" s="155">
        <f t="shared" si="4"/>
        <v>13.950000000000001</v>
      </c>
      <c r="H24" s="155">
        <f t="shared" si="5"/>
        <v>52.31250000000001</v>
      </c>
      <c r="I24" s="155">
        <f t="shared" si="6"/>
        <v>11381.107500000002</v>
      </c>
      <c r="J24" s="155">
        <f t="shared" si="7"/>
        <v>3034.9620000000004</v>
      </c>
      <c r="K24" s="58">
        <f>Головна!F2*7.4</f>
        <v>217.56</v>
      </c>
    </row>
    <row r="25" spans="1:11" ht="15.75">
      <c r="A25" s="495"/>
      <c r="B25" s="495"/>
      <c r="C25" s="155">
        <v>0.93</v>
      </c>
      <c r="D25" s="156">
        <v>20</v>
      </c>
      <c r="E25" s="156">
        <v>1250</v>
      </c>
      <c r="F25" s="156">
        <v>3000</v>
      </c>
      <c r="G25" s="155">
        <f t="shared" si="4"/>
        <v>18.6</v>
      </c>
      <c r="H25" s="155">
        <f t="shared" si="5"/>
        <v>69.75</v>
      </c>
      <c r="I25" s="155">
        <f t="shared" si="6"/>
        <v>14662.147500000001</v>
      </c>
      <c r="J25" s="155">
        <f t="shared" si="7"/>
        <v>3909.9060000000004</v>
      </c>
      <c r="K25" s="58">
        <f>Головна!F2*7.15</f>
        <v>210.21</v>
      </c>
    </row>
    <row r="26" spans="1:11" ht="15">
      <c r="A26" s="495"/>
      <c r="B26" s="495"/>
      <c r="C26" s="151">
        <v>0.93</v>
      </c>
      <c r="D26" s="152">
        <v>25</v>
      </c>
      <c r="E26" s="152">
        <v>1250</v>
      </c>
      <c r="F26" s="152">
        <v>3000</v>
      </c>
      <c r="G26" s="151">
        <f t="shared" si="4"/>
        <v>23.250000000000004</v>
      </c>
      <c r="H26" s="151">
        <f t="shared" si="5"/>
        <v>87.1875</v>
      </c>
      <c r="I26" s="151">
        <f t="shared" si="6"/>
        <v>18327.684375</v>
      </c>
      <c r="J26" s="151">
        <f t="shared" si="7"/>
        <v>4887.382500000001</v>
      </c>
      <c r="K26" s="58">
        <f>Головна!F2*7.15</f>
        <v>210.21</v>
      </c>
    </row>
    <row r="27" spans="1:11" ht="15.75">
      <c r="A27" s="495"/>
      <c r="B27" s="495"/>
      <c r="C27" s="155">
        <v>0.93</v>
      </c>
      <c r="D27" s="156">
        <v>30</v>
      </c>
      <c r="E27" s="156">
        <v>1250</v>
      </c>
      <c r="F27" s="156">
        <v>3000</v>
      </c>
      <c r="G27" s="155">
        <f t="shared" si="4"/>
        <v>27.900000000000002</v>
      </c>
      <c r="H27" s="155">
        <f t="shared" si="5"/>
        <v>104.62500000000001</v>
      </c>
      <c r="I27" s="155">
        <f t="shared" si="6"/>
        <v>21993.221250000002</v>
      </c>
      <c r="J27" s="155">
        <f t="shared" si="7"/>
        <v>5864.859</v>
      </c>
      <c r="K27" s="58">
        <f>Головна!F2*7.15</f>
        <v>210.21</v>
      </c>
    </row>
    <row r="28" spans="1:11" ht="15">
      <c r="A28" s="495"/>
      <c r="B28" s="495"/>
      <c r="C28" s="151">
        <v>0.93</v>
      </c>
      <c r="D28" s="152">
        <v>35</v>
      </c>
      <c r="E28" s="152">
        <v>1250</v>
      </c>
      <c r="F28" s="152">
        <v>3000</v>
      </c>
      <c r="G28" s="151">
        <f t="shared" si="4"/>
        <v>32.550000000000004</v>
      </c>
      <c r="H28" s="151">
        <f t="shared" si="5"/>
        <v>122.06250000000001</v>
      </c>
      <c r="I28" s="151">
        <f t="shared" si="6"/>
        <v>25658.758125000004</v>
      </c>
      <c r="J28" s="151">
        <f t="shared" si="7"/>
        <v>6842.335500000001</v>
      </c>
      <c r="K28" s="58">
        <f>Головна!F2*7.15</f>
        <v>210.21</v>
      </c>
    </row>
    <row r="29" spans="1:11" ht="15">
      <c r="A29" s="495"/>
      <c r="B29" s="495"/>
      <c r="C29" s="368">
        <v>0.93</v>
      </c>
      <c r="D29" s="369">
        <v>40</v>
      </c>
      <c r="E29" s="369">
        <v>1250</v>
      </c>
      <c r="F29" s="369">
        <v>3000</v>
      </c>
      <c r="G29" s="368">
        <f t="shared" si="4"/>
        <v>37.2</v>
      </c>
      <c r="H29" s="368">
        <f t="shared" si="5"/>
        <v>139.5</v>
      </c>
      <c r="I29" s="368">
        <f t="shared" si="6"/>
        <v>29324.295000000002</v>
      </c>
      <c r="J29" s="368">
        <f t="shared" si="7"/>
        <v>7819.812000000001</v>
      </c>
      <c r="K29" s="58">
        <f>Головна!F2*7.15</f>
        <v>210.21</v>
      </c>
    </row>
    <row r="30" spans="1:11" ht="15">
      <c r="A30" s="495"/>
      <c r="B30" s="495"/>
      <c r="C30" s="151">
        <v>0.93</v>
      </c>
      <c r="D30" s="152">
        <v>45</v>
      </c>
      <c r="E30" s="152">
        <v>1250</v>
      </c>
      <c r="F30" s="152">
        <v>3000</v>
      </c>
      <c r="G30" s="151">
        <f t="shared" si="4"/>
        <v>41.85</v>
      </c>
      <c r="H30" s="151">
        <f t="shared" si="5"/>
        <v>156.9375</v>
      </c>
      <c r="I30" s="151">
        <f t="shared" si="6"/>
        <v>32989.831875</v>
      </c>
      <c r="J30" s="151">
        <f t="shared" si="7"/>
        <v>8797.2885</v>
      </c>
      <c r="K30" s="58">
        <f>Головна!F2*7.15</f>
        <v>210.21</v>
      </c>
    </row>
    <row r="31" spans="1:11" ht="15">
      <c r="A31" s="495"/>
      <c r="B31" s="495"/>
      <c r="C31" s="151">
        <v>0.93</v>
      </c>
      <c r="D31" s="152">
        <v>50</v>
      </c>
      <c r="E31" s="152">
        <v>1250</v>
      </c>
      <c r="F31" s="152">
        <v>3000</v>
      </c>
      <c r="G31" s="151">
        <f t="shared" si="4"/>
        <v>46.50000000000001</v>
      </c>
      <c r="H31" s="151">
        <f t="shared" si="5"/>
        <v>174.375</v>
      </c>
      <c r="I31" s="151">
        <f t="shared" si="6"/>
        <v>36655.36875</v>
      </c>
      <c r="J31" s="151">
        <f t="shared" si="7"/>
        <v>9774.765000000001</v>
      </c>
      <c r="K31" s="58">
        <f>Головна!F2*7.15</f>
        <v>210.21</v>
      </c>
    </row>
    <row r="32" spans="1:11" ht="15">
      <c r="A32" s="495"/>
      <c r="B32" s="495"/>
      <c r="C32" s="151">
        <v>0.93</v>
      </c>
      <c r="D32" s="152">
        <v>60</v>
      </c>
      <c r="E32" s="152">
        <v>1250</v>
      </c>
      <c r="F32" s="152">
        <v>3000</v>
      </c>
      <c r="G32" s="151">
        <f t="shared" si="4"/>
        <v>55.800000000000004</v>
      </c>
      <c r="H32" s="151">
        <f t="shared" si="5"/>
        <v>209.25000000000003</v>
      </c>
      <c r="I32" s="151">
        <f t="shared" si="6"/>
        <v>49031.04150000001</v>
      </c>
      <c r="J32" s="151">
        <f t="shared" si="7"/>
        <v>13074.944400000002</v>
      </c>
      <c r="K32" s="58">
        <f>Головна!F2*7.97</f>
        <v>234.31799999999998</v>
      </c>
    </row>
    <row r="33" spans="1:11" ht="15">
      <c r="A33" s="495"/>
      <c r="B33" s="495"/>
      <c r="C33" s="151">
        <v>0.93</v>
      </c>
      <c r="D33" s="152">
        <v>70</v>
      </c>
      <c r="E33" s="152">
        <v>1250</v>
      </c>
      <c r="F33" s="152">
        <v>3000</v>
      </c>
      <c r="G33" s="151">
        <f t="shared" si="4"/>
        <v>65.10000000000001</v>
      </c>
      <c r="H33" s="151">
        <f t="shared" si="5"/>
        <v>244.12500000000003</v>
      </c>
      <c r="I33" s="151">
        <f t="shared" si="6"/>
        <v>54906.153750000005</v>
      </c>
      <c r="J33" s="151">
        <f t="shared" si="7"/>
        <v>14641.641000000001</v>
      </c>
      <c r="K33" s="58">
        <f>Головна!F2*7.65</f>
        <v>224.91</v>
      </c>
    </row>
    <row r="34" spans="1:11" ht="15">
      <c r="A34" s="495"/>
      <c r="B34" s="495"/>
      <c r="C34" s="151">
        <v>0.93</v>
      </c>
      <c r="D34" s="152">
        <v>80</v>
      </c>
      <c r="E34" s="152">
        <v>1250</v>
      </c>
      <c r="F34" s="152">
        <v>3000</v>
      </c>
      <c r="G34" s="151">
        <f t="shared" si="4"/>
        <v>74.4</v>
      </c>
      <c r="H34" s="151">
        <f t="shared" si="5"/>
        <v>279</v>
      </c>
      <c r="I34" s="151">
        <f t="shared" si="6"/>
        <v>62749.89</v>
      </c>
      <c r="J34" s="151">
        <f t="shared" si="7"/>
        <v>16733.304</v>
      </c>
      <c r="K34" s="58">
        <f>Головна!F2*7.65</f>
        <v>224.91</v>
      </c>
    </row>
    <row r="35" spans="1:11" ht="15">
      <c r="A35" s="495"/>
      <c r="B35" s="495"/>
      <c r="C35" s="151">
        <v>0.93</v>
      </c>
      <c r="D35" s="152">
        <v>90</v>
      </c>
      <c r="E35" s="152">
        <v>1250</v>
      </c>
      <c r="F35" s="152">
        <v>3000</v>
      </c>
      <c r="G35" s="151">
        <f t="shared" si="4"/>
        <v>83.7</v>
      </c>
      <c r="H35" s="151">
        <f t="shared" si="5"/>
        <v>313.875</v>
      </c>
      <c r="I35" s="151">
        <f t="shared" si="6"/>
        <v>78898.75875000001</v>
      </c>
      <c r="J35" s="151">
        <f t="shared" si="7"/>
        <v>21039.669</v>
      </c>
      <c r="K35" s="58">
        <f>Головна!F2*8.55</f>
        <v>251.37</v>
      </c>
    </row>
    <row r="36" spans="1:11" ht="15">
      <c r="A36" s="495"/>
      <c r="B36" s="495"/>
      <c r="C36" s="165">
        <v>0.93</v>
      </c>
      <c r="D36" s="173">
        <v>100</v>
      </c>
      <c r="E36" s="173">
        <v>1250</v>
      </c>
      <c r="F36" s="173">
        <v>3000</v>
      </c>
      <c r="G36" s="165">
        <f t="shared" si="4"/>
        <v>93.00000000000001</v>
      </c>
      <c r="H36" s="165">
        <f t="shared" si="5"/>
        <v>348.75</v>
      </c>
      <c r="I36" s="165">
        <f t="shared" si="6"/>
        <v>87665.2875</v>
      </c>
      <c r="J36" s="165">
        <f t="shared" si="7"/>
        <v>23377.41</v>
      </c>
      <c r="K36" s="58">
        <f>Головна!F2*8.55</f>
        <v>251.37</v>
      </c>
    </row>
    <row r="37" spans="1:11" ht="15" customHeight="1">
      <c r="A37" s="496" t="s">
        <v>392</v>
      </c>
      <c r="B37" s="496"/>
      <c r="C37" s="496"/>
      <c r="D37" s="496"/>
      <c r="E37" s="496"/>
      <c r="F37" s="496"/>
      <c r="G37" s="496"/>
      <c r="H37" s="496"/>
      <c r="I37" s="496"/>
      <c r="J37" s="496"/>
      <c r="K37" s="58"/>
    </row>
    <row r="38" spans="1:11" ht="15.75" customHeight="1">
      <c r="A38" s="497" t="s">
        <v>393</v>
      </c>
      <c r="B38" s="497"/>
      <c r="C38" s="497"/>
      <c r="D38" s="497"/>
      <c r="E38" s="497"/>
      <c r="F38" s="497"/>
      <c r="G38" s="497"/>
      <c r="H38" s="497"/>
      <c r="I38" s="497"/>
      <c r="J38" s="497"/>
      <c r="K38" s="58"/>
    </row>
    <row r="39" spans="1:11" ht="16.5" customHeight="1">
      <c r="A39" s="494" t="s">
        <v>394</v>
      </c>
      <c r="B39" s="494"/>
      <c r="C39" s="494"/>
      <c r="D39" s="494"/>
      <c r="E39" s="494"/>
      <c r="F39" s="494"/>
      <c r="G39" s="494"/>
      <c r="H39" s="493" t="s">
        <v>269</v>
      </c>
      <c r="I39" s="493"/>
      <c r="J39" s="493"/>
      <c r="K39" s="34" t="s">
        <v>226</v>
      </c>
    </row>
    <row r="40" spans="1:11" ht="15.75" customHeight="1">
      <c r="A40" s="495" t="s">
        <v>201</v>
      </c>
      <c r="B40" s="495" t="s">
        <v>268</v>
      </c>
      <c r="C40" s="144">
        <v>0.94</v>
      </c>
      <c r="D40" s="184">
        <v>10</v>
      </c>
      <c r="E40" s="184">
        <v>1250</v>
      </c>
      <c r="F40" s="184">
        <v>3000</v>
      </c>
      <c r="G40" s="144">
        <f aca="true" t="shared" si="8" ref="G40:G54">D40/1000*C40*1000</f>
        <v>9.4</v>
      </c>
      <c r="H40" s="144">
        <f aca="true" t="shared" si="9" ref="H40:H54">D40/1000*E40/1000*F40/1000*C40*1000</f>
        <v>35.25</v>
      </c>
      <c r="I40" s="144">
        <f aca="true" t="shared" si="10" ref="I40:I54">H40*K40</f>
        <v>7047.179999999999</v>
      </c>
      <c r="J40" s="144">
        <f aca="true" t="shared" si="11" ref="J40:J54">I40/(F40*E40/1000000)</f>
        <v>1879.2479999999998</v>
      </c>
      <c r="K40" s="58">
        <f>Головна!F2*6.8</f>
        <v>199.92</v>
      </c>
    </row>
    <row r="41" spans="1:11" ht="15">
      <c r="A41" s="495"/>
      <c r="B41" s="495"/>
      <c r="C41" s="151">
        <v>0.94</v>
      </c>
      <c r="D41" s="152">
        <v>12</v>
      </c>
      <c r="E41" s="152">
        <v>1250</v>
      </c>
      <c r="F41" s="152">
        <v>3000</v>
      </c>
      <c r="G41" s="151">
        <f t="shared" si="8"/>
        <v>11.28</v>
      </c>
      <c r="H41" s="151">
        <f t="shared" si="9"/>
        <v>42.3</v>
      </c>
      <c r="I41" s="151">
        <f t="shared" si="10"/>
        <v>8220.3282</v>
      </c>
      <c r="J41" s="151">
        <f t="shared" si="11"/>
        <v>2192.08752</v>
      </c>
      <c r="K41" s="58">
        <f>Головна!F2*6.61</f>
        <v>194.334</v>
      </c>
    </row>
    <row r="42" spans="1:11" ht="15">
      <c r="A42" s="495"/>
      <c r="B42" s="495"/>
      <c r="C42" s="151">
        <v>0.94</v>
      </c>
      <c r="D42" s="152">
        <v>15</v>
      </c>
      <c r="E42" s="152">
        <v>1250</v>
      </c>
      <c r="F42" s="152">
        <v>3000</v>
      </c>
      <c r="G42" s="151">
        <f t="shared" si="8"/>
        <v>14.099999999999998</v>
      </c>
      <c r="H42" s="151">
        <f t="shared" si="9"/>
        <v>52.875</v>
      </c>
      <c r="I42" s="151">
        <f t="shared" si="10"/>
        <v>9280.514249999998</v>
      </c>
      <c r="J42" s="151">
        <f t="shared" si="11"/>
        <v>2474.8037999999997</v>
      </c>
      <c r="K42" s="58">
        <f>Головна!F2*5.97</f>
        <v>175.51799999999997</v>
      </c>
    </row>
    <row r="43" spans="1:11" ht="15">
      <c r="A43" s="495"/>
      <c r="B43" s="495"/>
      <c r="C43" s="151">
        <v>0.94</v>
      </c>
      <c r="D43" s="152">
        <v>20</v>
      </c>
      <c r="E43" s="152">
        <v>1250</v>
      </c>
      <c r="F43" s="152">
        <v>3000</v>
      </c>
      <c r="G43" s="151">
        <f t="shared" si="8"/>
        <v>18.8</v>
      </c>
      <c r="H43" s="151">
        <f t="shared" si="9"/>
        <v>70.5</v>
      </c>
      <c r="I43" s="151">
        <f t="shared" si="10"/>
        <v>11275.488000000001</v>
      </c>
      <c r="J43" s="151">
        <f t="shared" si="11"/>
        <v>3006.7968000000005</v>
      </c>
      <c r="K43" s="58">
        <f>Головна!F2*5.44</f>
        <v>159.936</v>
      </c>
    </row>
    <row r="44" spans="1:11" ht="15">
      <c r="A44" s="495"/>
      <c r="B44" s="495"/>
      <c r="C44" s="151">
        <v>0.94</v>
      </c>
      <c r="D44" s="152">
        <v>25</v>
      </c>
      <c r="E44" s="152">
        <v>1250</v>
      </c>
      <c r="F44" s="152">
        <v>3000</v>
      </c>
      <c r="G44" s="151">
        <f t="shared" si="8"/>
        <v>23.5</v>
      </c>
      <c r="H44" s="151">
        <f t="shared" si="9"/>
        <v>88.125</v>
      </c>
      <c r="I44" s="151">
        <f t="shared" si="10"/>
        <v>14094.36</v>
      </c>
      <c r="J44" s="151">
        <f t="shared" si="11"/>
        <v>3758.496</v>
      </c>
      <c r="K44" s="58">
        <f>Головна!F2*5.44</f>
        <v>159.936</v>
      </c>
    </row>
    <row r="45" spans="1:11" ht="15">
      <c r="A45" s="495"/>
      <c r="B45" s="495"/>
      <c r="C45" s="151">
        <v>0.94</v>
      </c>
      <c r="D45" s="152">
        <v>30</v>
      </c>
      <c r="E45" s="152">
        <v>1250</v>
      </c>
      <c r="F45" s="152">
        <v>3000</v>
      </c>
      <c r="G45" s="151">
        <f t="shared" si="8"/>
        <v>28.199999999999996</v>
      </c>
      <c r="H45" s="151">
        <f t="shared" si="9"/>
        <v>105.75</v>
      </c>
      <c r="I45" s="151">
        <f t="shared" si="10"/>
        <v>16913.232</v>
      </c>
      <c r="J45" s="151">
        <f t="shared" si="11"/>
        <v>4510.1952</v>
      </c>
      <c r="K45" s="58">
        <f>Головна!F2*5.44</f>
        <v>159.936</v>
      </c>
    </row>
    <row r="46" spans="1:11" ht="15">
      <c r="A46" s="495"/>
      <c r="B46" s="495"/>
      <c r="C46" s="151">
        <v>0.94</v>
      </c>
      <c r="D46" s="152">
        <v>35</v>
      </c>
      <c r="E46" s="152">
        <v>1250</v>
      </c>
      <c r="F46" s="152">
        <v>3000</v>
      </c>
      <c r="G46" s="151">
        <f t="shared" si="8"/>
        <v>32.9</v>
      </c>
      <c r="H46" s="151">
        <f t="shared" si="9"/>
        <v>123.375</v>
      </c>
      <c r="I46" s="151">
        <f t="shared" si="10"/>
        <v>19732.104</v>
      </c>
      <c r="J46" s="151">
        <f t="shared" si="11"/>
        <v>5261.8944</v>
      </c>
      <c r="K46" s="58">
        <f>Головна!F2*5.44</f>
        <v>159.936</v>
      </c>
    </row>
    <row r="47" spans="1:11" ht="15">
      <c r="A47" s="495"/>
      <c r="B47" s="495"/>
      <c r="C47" s="151">
        <v>0.94</v>
      </c>
      <c r="D47" s="152">
        <v>40</v>
      </c>
      <c r="E47" s="152">
        <v>1250</v>
      </c>
      <c r="F47" s="152">
        <v>3000</v>
      </c>
      <c r="G47" s="151">
        <f t="shared" si="8"/>
        <v>37.6</v>
      </c>
      <c r="H47" s="151">
        <f t="shared" si="9"/>
        <v>141</v>
      </c>
      <c r="I47" s="151">
        <f t="shared" si="10"/>
        <v>22550.976000000002</v>
      </c>
      <c r="J47" s="151">
        <f t="shared" si="11"/>
        <v>6013.593600000001</v>
      </c>
      <c r="K47" s="58">
        <f>Головна!F2*5.44</f>
        <v>159.936</v>
      </c>
    </row>
    <row r="48" spans="1:11" ht="15">
      <c r="A48" s="495"/>
      <c r="B48" s="495"/>
      <c r="C48" s="151">
        <v>0.94</v>
      </c>
      <c r="D48" s="152">
        <v>45</v>
      </c>
      <c r="E48" s="152">
        <v>1250</v>
      </c>
      <c r="F48" s="152">
        <v>3000</v>
      </c>
      <c r="G48" s="151">
        <f t="shared" si="8"/>
        <v>42.3</v>
      </c>
      <c r="H48" s="151">
        <f t="shared" si="9"/>
        <v>158.625</v>
      </c>
      <c r="I48" s="151">
        <f t="shared" si="10"/>
        <v>25369.848</v>
      </c>
      <c r="J48" s="151">
        <f t="shared" si="11"/>
        <v>6765.2928</v>
      </c>
      <c r="K48" s="58">
        <f>Головна!F2*5.44</f>
        <v>159.936</v>
      </c>
    </row>
    <row r="49" spans="1:11" ht="15">
      <c r="A49" s="495"/>
      <c r="B49" s="495"/>
      <c r="C49" s="151">
        <v>0.94</v>
      </c>
      <c r="D49" s="152">
        <v>50</v>
      </c>
      <c r="E49" s="152">
        <v>1250</v>
      </c>
      <c r="F49" s="152">
        <v>3000</v>
      </c>
      <c r="G49" s="151">
        <f t="shared" si="8"/>
        <v>47</v>
      </c>
      <c r="H49" s="151">
        <f t="shared" si="9"/>
        <v>176.25</v>
      </c>
      <c r="I49" s="151">
        <f t="shared" si="10"/>
        <v>28188.72</v>
      </c>
      <c r="J49" s="151">
        <f t="shared" si="11"/>
        <v>7516.992</v>
      </c>
      <c r="K49" s="58">
        <f>Головна!F2*5.44</f>
        <v>159.936</v>
      </c>
    </row>
    <row r="50" spans="1:11" ht="15">
      <c r="A50" s="495"/>
      <c r="B50" s="495"/>
      <c r="C50" s="151">
        <v>0.94</v>
      </c>
      <c r="D50" s="152">
        <v>60</v>
      </c>
      <c r="E50" s="152">
        <v>1250</v>
      </c>
      <c r="F50" s="152">
        <v>3000</v>
      </c>
      <c r="G50" s="151">
        <f t="shared" si="8"/>
        <v>56.39999999999999</v>
      </c>
      <c r="H50" s="151">
        <f t="shared" si="9"/>
        <v>211.5</v>
      </c>
      <c r="I50" s="151">
        <f t="shared" si="10"/>
        <v>33826.464</v>
      </c>
      <c r="J50" s="151">
        <f t="shared" si="11"/>
        <v>9020.3904</v>
      </c>
      <c r="K50" s="58">
        <f>Головна!F2*5.44</f>
        <v>159.936</v>
      </c>
    </row>
    <row r="51" spans="1:11" ht="15">
      <c r="A51" s="495"/>
      <c r="B51" s="495"/>
      <c r="C51" s="151">
        <v>0.94</v>
      </c>
      <c r="D51" s="152">
        <v>70</v>
      </c>
      <c r="E51" s="152">
        <v>1250</v>
      </c>
      <c r="F51" s="152">
        <v>3000</v>
      </c>
      <c r="G51" s="151">
        <f t="shared" si="8"/>
        <v>65.8</v>
      </c>
      <c r="H51" s="151">
        <f t="shared" si="9"/>
        <v>246.75</v>
      </c>
      <c r="I51" s="151">
        <f t="shared" si="10"/>
        <v>43309.06649999999</v>
      </c>
      <c r="J51" s="151">
        <f t="shared" si="11"/>
        <v>11549.084399999998</v>
      </c>
      <c r="K51" s="58">
        <f>Головна!F2*5.97</f>
        <v>175.51799999999997</v>
      </c>
    </row>
    <row r="52" spans="1:11" ht="15">
      <c r="A52" s="495"/>
      <c r="B52" s="495"/>
      <c r="C52" s="151">
        <v>0.94</v>
      </c>
      <c r="D52" s="152">
        <v>80</v>
      </c>
      <c r="E52" s="152">
        <v>1250</v>
      </c>
      <c r="F52" s="152">
        <v>3000</v>
      </c>
      <c r="G52" s="151">
        <f t="shared" si="8"/>
        <v>75.2</v>
      </c>
      <c r="H52" s="151">
        <f t="shared" si="9"/>
        <v>282</v>
      </c>
      <c r="I52" s="151">
        <f t="shared" si="10"/>
        <v>49496.075999999994</v>
      </c>
      <c r="J52" s="151">
        <f t="shared" si="11"/>
        <v>13198.953599999999</v>
      </c>
      <c r="K52" s="58">
        <f>Головна!F2*5.97</f>
        <v>175.51799999999997</v>
      </c>
    </row>
    <row r="53" spans="1:11" ht="15">
      <c r="A53" s="495"/>
      <c r="B53" s="495"/>
      <c r="C53" s="151">
        <v>0.94</v>
      </c>
      <c r="D53" s="152">
        <v>90</v>
      </c>
      <c r="E53" s="152">
        <v>1250</v>
      </c>
      <c r="F53" s="152">
        <v>3000</v>
      </c>
      <c r="G53" s="151">
        <f t="shared" si="8"/>
        <v>84.6</v>
      </c>
      <c r="H53" s="151">
        <f t="shared" si="9"/>
        <v>317.25</v>
      </c>
      <c r="I53" s="151">
        <f t="shared" si="10"/>
        <v>56522.528999999995</v>
      </c>
      <c r="J53" s="151">
        <f t="shared" si="11"/>
        <v>15072.674399999998</v>
      </c>
      <c r="K53" s="58">
        <f>Головна!F2*6.06</f>
        <v>178.164</v>
      </c>
    </row>
    <row r="54" spans="1:11" ht="15">
      <c r="A54" s="495"/>
      <c r="B54" s="495"/>
      <c r="C54" s="165">
        <v>0.94</v>
      </c>
      <c r="D54" s="173">
        <v>100</v>
      </c>
      <c r="E54" s="173">
        <v>1250</v>
      </c>
      <c r="F54" s="173">
        <v>3000</v>
      </c>
      <c r="G54" s="165">
        <f t="shared" si="8"/>
        <v>94</v>
      </c>
      <c r="H54" s="165">
        <f t="shared" si="9"/>
        <v>352.5</v>
      </c>
      <c r="I54" s="151">
        <f t="shared" si="10"/>
        <v>62802.81</v>
      </c>
      <c r="J54" s="151">
        <f t="shared" si="11"/>
        <v>16747.416</v>
      </c>
      <c r="K54" s="58">
        <f>Головна!F2*6.06</f>
        <v>178.164</v>
      </c>
    </row>
    <row r="55" spans="1:11" ht="15" customHeight="1">
      <c r="A55" s="496" t="s">
        <v>392</v>
      </c>
      <c r="B55" s="496"/>
      <c r="C55" s="496"/>
      <c r="D55" s="496"/>
      <c r="E55" s="496"/>
      <c r="F55" s="496"/>
      <c r="G55" s="496"/>
      <c r="H55" s="496"/>
      <c r="I55" s="496"/>
      <c r="J55" s="496"/>
      <c r="K55" s="58"/>
    </row>
    <row r="56" spans="1:18" ht="15" customHeight="1">
      <c r="A56" s="498" t="s">
        <v>396</v>
      </c>
      <c r="B56" s="498"/>
      <c r="C56" s="498"/>
      <c r="D56" s="498"/>
      <c r="E56" s="498"/>
      <c r="F56" s="498"/>
      <c r="G56" s="498"/>
      <c r="H56" s="498"/>
      <c r="I56" s="498"/>
      <c r="J56" s="498"/>
      <c r="K56" s="103"/>
      <c r="L56" s="103"/>
      <c r="O56" s="185"/>
      <c r="P56" s="186"/>
      <c r="Q56" s="186"/>
      <c r="R56" s="186"/>
    </row>
    <row r="57" spans="1:18" ht="1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03"/>
      <c r="L57" s="103"/>
      <c r="O57" s="185"/>
      <c r="P57" s="186"/>
      <c r="Q57" s="186"/>
      <c r="R57" s="186"/>
    </row>
    <row r="58" spans="1:12" ht="27" customHeight="1">
      <c r="A58" s="404" t="s">
        <v>209</v>
      </c>
      <c r="B58" s="404"/>
      <c r="C58" s="404"/>
      <c r="D58" s="404"/>
      <c r="E58" s="404"/>
      <c r="F58" s="404"/>
      <c r="G58" s="404"/>
      <c r="H58" s="404"/>
      <c r="I58" s="404"/>
      <c r="J58" s="51"/>
      <c r="K58" s="187"/>
      <c r="L58" s="187"/>
    </row>
    <row r="59" spans="1:12" ht="12.75" customHeight="1">
      <c r="A59" s="406" t="s">
        <v>354</v>
      </c>
      <c r="B59" s="406"/>
      <c r="C59" s="406"/>
      <c r="D59" s="406"/>
      <c r="E59" s="406"/>
      <c r="F59" s="406"/>
      <c r="G59" s="406"/>
      <c r="H59" s="51"/>
      <c r="I59" s="51"/>
      <c r="J59" s="51"/>
      <c r="K59" s="187"/>
      <c r="L59" s="187"/>
    </row>
    <row r="60" spans="1:12" ht="12.75" customHeight="1">
      <c r="A60" s="455" t="s">
        <v>332</v>
      </c>
      <c r="B60" s="455"/>
      <c r="C60" s="455"/>
      <c r="D60" s="455"/>
      <c r="E60" s="455"/>
      <c r="F60" s="455"/>
      <c r="G60" s="455"/>
      <c r="H60" s="51"/>
      <c r="I60" s="51"/>
      <c r="J60" s="51"/>
      <c r="K60" s="187"/>
      <c r="L60" s="187"/>
    </row>
    <row r="61" spans="1:12" ht="12.75" customHeight="1">
      <c r="A61" s="416" t="s">
        <v>219</v>
      </c>
      <c r="B61" s="416"/>
      <c r="C61" s="416"/>
      <c r="D61" s="416"/>
      <c r="E61" s="416"/>
      <c r="F61" s="416"/>
      <c r="G61" s="416"/>
      <c r="H61" s="51"/>
      <c r="I61" s="51"/>
      <c r="J61" s="51"/>
      <c r="K61" s="187"/>
      <c r="L61" s="187"/>
    </row>
    <row r="62" spans="1:12" ht="12.75" customHeight="1">
      <c r="A62" s="499" t="s">
        <v>202</v>
      </c>
      <c r="B62" s="499"/>
      <c r="C62" s="499"/>
      <c r="D62" s="499"/>
      <c r="E62" s="499"/>
      <c r="F62" s="499"/>
      <c r="G62" s="499"/>
      <c r="H62" s="51"/>
      <c r="I62" s="51"/>
      <c r="J62" s="51"/>
      <c r="K62" s="187"/>
      <c r="L62" s="187"/>
    </row>
    <row r="63" spans="1:12" ht="16.5" customHeight="1">
      <c r="A63" s="188"/>
      <c r="B63" s="188"/>
      <c r="C63" s="188"/>
      <c r="D63" s="188"/>
      <c r="E63" s="188"/>
      <c r="F63" s="188"/>
      <c r="G63" s="188"/>
      <c r="H63" s="51"/>
      <c r="I63" s="51"/>
      <c r="J63" s="51"/>
      <c r="K63" s="187"/>
      <c r="L63" s="187"/>
    </row>
    <row r="64" spans="1:10" ht="16.5" customHeight="1">
      <c r="A64" s="451" t="s">
        <v>370</v>
      </c>
      <c r="B64" s="451" t="s">
        <v>320</v>
      </c>
      <c r="C64" s="451" t="s">
        <v>397</v>
      </c>
      <c r="D64" s="451"/>
      <c r="E64" s="451"/>
      <c r="F64" s="451"/>
      <c r="G64" s="451"/>
      <c r="H64" s="451"/>
      <c r="I64" s="451"/>
      <c r="J64" s="451"/>
    </row>
    <row r="65" spans="1:10" ht="16.5" customHeight="1">
      <c r="A65" s="451"/>
      <c r="B65" s="451"/>
      <c r="C65" s="451" t="s">
        <v>373</v>
      </c>
      <c r="D65" s="451"/>
      <c r="E65" s="451"/>
      <c r="F65" s="451"/>
      <c r="G65" s="451"/>
      <c r="H65" s="451"/>
      <c r="I65" s="451"/>
      <c r="J65" s="451"/>
    </row>
    <row r="66" spans="1:10" ht="31.5" customHeight="1">
      <c r="A66" s="451"/>
      <c r="B66" s="451"/>
      <c r="C66" s="500" t="s">
        <v>239</v>
      </c>
      <c r="D66" s="500"/>
      <c r="E66" s="451" t="s">
        <v>240</v>
      </c>
      <c r="F66" s="451"/>
      <c r="G66" s="451"/>
      <c r="H66" s="451" t="s">
        <v>252</v>
      </c>
      <c r="I66" s="451"/>
      <c r="J66" s="451"/>
    </row>
    <row r="67" spans="1:18" ht="15">
      <c r="A67" s="189">
        <v>20</v>
      </c>
      <c r="B67" s="190">
        <v>0.58</v>
      </c>
      <c r="C67" s="501">
        <f>Головна!$F$2*$B67*P67</f>
        <v>166.6202076</v>
      </c>
      <c r="D67" s="501"/>
      <c r="E67" s="501">
        <f>Головна!$F$2*$B67*Q67</f>
        <v>172.09901519999997</v>
      </c>
      <c r="F67" s="501"/>
      <c r="G67" s="501"/>
      <c r="H67" s="501">
        <f>Головна!$F$2*$B67*R67</f>
        <v>172.09901519999997</v>
      </c>
      <c r="I67" s="501"/>
      <c r="J67" s="501"/>
      <c r="P67" s="191">
        <v>9.7713</v>
      </c>
      <c r="Q67" s="191">
        <v>10.0926</v>
      </c>
      <c r="R67" s="191">
        <v>10.0926</v>
      </c>
    </row>
    <row r="68" spans="1:18" ht="15">
      <c r="A68" s="192">
        <v>25</v>
      </c>
      <c r="B68" s="193">
        <v>0.92</v>
      </c>
      <c r="C68" s="463">
        <f>Головна!$F$2*$B68*P68</f>
        <v>264.2941224</v>
      </c>
      <c r="D68" s="463"/>
      <c r="E68" s="463">
        <f>Головна!$F$2*$B68*Q68</f>
        <v>272.98464479999996</v>
      </c>
      <c r="F68" s="463"/>
      <c r="G68" s="463"/>
      <c r="H68" s="463">
        <f>Головна!$F$2*$B68*R68</f>
        <v>272.98464479999996</v>
      </c>
      <c r="I68" s="463"/>
      <c r="J68" s="463"/>
      <c r="P68" s="191">
        <v>9.7713</v>
      </c>
      <c r="Q68" s="191">
        <v>10.0926</v>
      </c>
      <c r="R68" s="191">
        <v>10.0926</v>
      </c>
    </row>
    <row r="69" spans="1:18" ht="15">
      <c r="A69" s="192">
        <v>30</v>
      </c>
      <c r="B69" s="193">
        <v>1.32</v>
      </c>
      <c r="C69" s="463">
        <f>Головна!$F$2*$B69*P69</f>
        <v>379.2046104</v>
      </c>
      <c r="D69" s="463"/>
      <c r="E69" s="463">
        <f>Головна!$F$2*$B69*Q69</f>
        <v>391.6736208</v>
      </c>
      <c r="F69" s="463"/>
      <c r="G69" s="463"/>
      <c r="H69" s="463">
        <f>Головна!$F$2*$B69*R69</f>
        <v>391.6736208</v>
      </c>
      <c r="I69" s="463"/>
      <c r="J69" s="463"/>
      <c r="P69" s="191">
        <v>9.7713</v>
      </c>
      <c r="Q69" s="191">
        <v>10.0926</v>
      </c>
      <c r="R69" s="191">
        <v>10.0926</v>
      </c>
    </row>
    <row r="70" spans="1:18" ht="15">
      <c r="A70" s="192">
        <v>35</v>
      </c>
      <c r="B70" s="193">
        <v>1.78</v>
      </c>
      <c r="C70" s="463">
        <f>Головна!$F$2*$B70*P70</f>
        <v>511.35167160000003</v>
      </c>
      <c r="D70" s="463"/>
      <c r="E70" s="463">
        <f>Головна!$F$2*$B70*Q70</f>
        <v>528.1659432</v>
      </c>
      <c r="F70" s="463"/>
      <c r="G70" s="463"/>
      <c r="H70" s="463">
        <f>Головна!$F$2*$B70*R70</f>
        <v>528.1659432</v>
      </c>
      <c r="I70" s="463"/>
      <c r="J70" s="463"/>
      <c r="P70" s="191">
        <v>9.7713</v>
      </c>
      <c r="Q70" s="191">
        <v>10.0926</v>
      </c>
      <c r="R70" s="191">
        <v>10.0926</v>
      </c>
    </row>
    <row r="71" spans="1:18" ht="15">
      <c r="A71" s="192">
        <v>40</v>
      </c>
      <c r="B71" s="193">
        <v>2.34</v>
      </c>
      <c r="C71" s="463">
        <f>Головна!$F$2*$B71*P71</f>
        <v>672.2263548</v>
      </c>
      <c r="D71" s="463"/>
      <c r="E71" s="463">
        <f>Головна!$F$2*$B71*Q71</f>
        <v>694.3305095999999</v>
      </c>
      <c r="F71" s="463"/>
      <c r="G71" s="463"/>
      <c r="H71" s="463">
        <f>Головна!$F$2*$B71*R71</f>
        <v>694.3305095999999</v>
      </c>
      <c r="I71" s="463"/>
      <c r="J71" s="463"/>
      <c r="P71" s="191">
        <v>9.7713</v>
      </c>
      <c r="Q71" s="191">
        <v>10.0926</v>
      </c>
      <c r="R71" s="191">
        <v>10.0926</v>
      </c>
    </row>
    <row r="72" spans="1:18" ht="15">
      <c r="A72" s="192">
        <v>42</v>
      </c>
      <c r="B72" s="193">
        <v>2.58</v>
      </c>
      <c r="C72" s="463">
        <f>Головна!$F$2*$B72*P72</f>
        <v>741.1726476</v>
      </c>
      <c r="D72" s="463"/>
      <c r="E72" s="463">
        <f>Головна!$F$2*$B72*Q72</f>
        <v>765.5438952</v>
      </c>
      <c r="F72" s="463"/>
      <c r="G72" s="463"/>
      <c r="H72" s="463">
        <f>Головна!$F$2*$B72*R72</f>
        <v>765.5438952</v>
      </c>
      <c r="I72" s="463"/>
      <c r="J72" s="463"/>
      <c r="P72" s="191">
        <v>9.7713</v>
      </c>
      <c r="Q72" s="191">
        <v>10.0926</v>
      </c>
      <c r="R72" s="191">
        <v>10.0926</v>
      </c>
    </row>
    <row r="73" spans="1:18" ht="15">
      <c r="A73" s="192">
        <v>45</v>
      </c>
      <c r="B73" s="193">
        <v>2.96</v>
      </c>
      <c r="C73" s="463">
        <f>Головна!$F$2*$B73*P73</f>
        <v>850.3376112</v>
      </c>
      <c r="D73" s="463"/>
      <c r="E73" s="463">
        <f>Головна!$F$2*$B73*Q73</f>
        <v>878.2984223999999</v>
      </c>
      <c r="F73" s="463"/>
      <c r="G73" s="463"/>
      <c r="H73" s="463">
        <f>Головна!$F$2*$B73*R73</f>
        <v>878.2984223999999</v>
      </c>
      <c r="I73" s="463"/>
      <c r="J73" s="463"/>
      <c r="P73" s="191">
        <v>9.7713</v>
      </c>
      <c r="Q73" s="191">
        <v>10.0926</v>
      </c>
      <c r="R73" s="191">
        <v>10.0926</v>
      </c>
    </row>
    <row r="74" spans="1:18" ht="15">
      <c r="A74" s="192">
        <v>50</v>
      </c>
      <c r="B74" s="193">
        <v>3.66</v>
      </c>
      <c r="C74" s="463">
        <f>Головна!$F$2*$B74*P74</f>
        <v>1051.4309652</v>
      </c>
      <c r="D74" s="463"/>
      <c r="E74" s="463">
        <f>Головна!$F$2*$B74*Q74</f>
        <v>1086.0041304</v>
      </c>
      <c r="F74" s="463"/>
      <c r="G74" s="463"/>
      <c r="H74" s="463">
        <f>Головна!$F$2*$B74*R74</f>
        <v>1086.0041304</v>
      </c>
      <c r="I74" s="463"/>
      <c r="J74" s="463"/>
      <c r="P74" s="191">
        <v>9.7713</v>
      </c>
      <c r="Q74" s="191">
        <v>10.0926</v>
      </c>
      <c r="R74" s="191">
        <v>10.0926</v>
      </c>
    </row>
    <row r="75" spans="1:18" ht="15">
      <c r="A75" s="192">
        <v>55</v>
      </c>
      <c r="B75" s="193">
        <v>4.42</v>
      </c>
      <c r="C75" s="463">
        <f>Головна!$F$2*$B75*P75</f>
        <v>1269.7608923999999</v>
      </c>
      <c r="D75" s="463"/>
      <c r="E75" s="463">
        <f>Головна!$F$2*$B75*Q75</f>
        <v>1311.5131847999996</v>
      </c>
      <c r="F75" s="463"/>
      <c r="G75" s="463"/>
      <c r="H75" s="463">
        <f>Головна!$F$2*$B75*R75</f>
        <v>1311.5131847999996</v>
      </c>
      <c r="I75" s="463"/>
      <c r="J75" s="463"/>
      <c r="P75" s="191">
        <v>9.7713</v>
      </c>
      <c r="Q75" s="191">
        <v>10.0926</v>
      </c>
      <c r="R75" s="191">
        <v>10.0926</v>
      </c>
    </row>
    <row r="76" spans="1:18" ht="15">
      <c r="A76" s="192">
        <v>60</v>
      </c>
      <c r="B76" s="193">
        <v>5.26</v>
      </c>
      <c r="C76" s="463">
        <f>Головна!$F$2*$B76*P76</f>
        <v>1511.0729172</v>
      </c>
      <c r="D76" s="463"/>
      <c r="E76" s="463">
        <f>Головна!$F$2*$B76*Q76</f>
        <v>1560.7600343999995</v>
      </c>
      <c r="F76" s="463"/>
      <c r="G76" s="463"/>
      <c r="H76" s="463">
        <f>Головна!$F$2*$B76*R76</f>
        <v>1560.7600343999995</v>
      </c>
      <c r="I76" s="463"/>
      <c r="J76" s="463"/>
      <c r="P76" s="191">
        <v>9.7713</v>
      </c>
      <c r="Q76" s="191">
        <v>10.0926</v>
      </c>
      <c r="R76" s="191">
        <v>10.0926</v>
      </c>
    </row>
    <row r="77" spans="1:18" ht="15">
      <c r="A77" s="192">
        <v>65</v>
      </c>
      <c r="B77" s="193">
        <v>6.18</v>
      </c>
      <c r="C77" s="463">
        <f>Головна!$F$2*$B77*P77</f>
        <v>1775.3670395999998</v>
      </c>
      <c r="D77" s="463"/>
      <c r="E77" s="463">
        <f>Головна!$F$2*$B77*Q77</f>
        <v>1833.7446791999996</v>
      </c>
      <c r="F77" s="463"/>
      <c r="G77" s="463"/>
      <c r="H77" s="463">
        <f>Головна!$F$2*$B77*R77</f>
        <v>1833.7446791999996</v>
      </c>
      <c r="I77" s="463"/>
      <c r="J77" s="463"/>
      <c r="P77" s="191">
        <v>9.7713</v>
      </c>
      <c r="Q77" s="191">
        <v>10.0926</v>
      </c>
      <c r="R77" s="191">
        <v>10.0926</v>
      </c>
    </row>
    <row r="78" spans="1:18" ht="15">
      <c r="A78" s="192">
        <v>70</v>
      </c>
      <c r="B78" s="193">
        <v>7.16</v>
      </c>
      <c r="C78" s="463">
        <f>Головна!$F$2*$B78*P78</f>
        <v>2056.8977351999997</v>
      </c>
      <c r="D78" s="463"/>
      <c r="E78" s="463">
        <f>Головна!$F$2*$B78*Q78</f>
        <v>2124.5326704</v>
      </c>
      <c r="F78" s="463"/>
      <c r="G78" s="463"/>
      <c r="H78" s="463">
        <f>Головна!$F$2*$B78*R78</f>
        <v>2124.5326704</v>
      </c>
      <c r="I78" s="463"/>
      <c r="J78" s="463"/>
      <c r="P78" s="191">
        <v>9.7713</v>
      </c>
      <c r="Q78" s="191">
        <v>10.0926</v>
      </c>
      <c r="R78" s="191">
        <v>10.0926</v>
      </c>
    </row>
    <row r="79" spans="1:18" ht="15">
      <c r="A79" s="192">
        <v>75</v>
      </c>
      <c r="B79" s="193">
        <v>8.22</v>
      </c>
      <c r="C79" s="463">
        <f>Головна!$F$2*$B79*P79</f>
        <v>2361.4105284</v>
      </c>
      <c r="D79" s="463"/>
      <c r="E79" s="463">
        <f>Головна!$F$2*$B79*Q79</f>
        <v>2439.0584568</v>
      </c>
      <c r="F79" s="463"/>
      <c r="G79" s="463"/>
      <c r="H79" s="463">
        <f>Головна!$F$2*$B79*R79</f>
        <v>2439.0584568</v>
      </c>
      <c r="I79" s="463"/>
      <c r="J79" s="463"/>
      <c r="P79" s="191">
        <v>9.7713</v>
      </c>
      <c r="Q79" s="191">
        <v>10.0926</v>
      </c>
      <c r="R79" s="191">
        <v>10.0926</v>
      </c>
    </row>
    <row r="80" spans="1:18" ht="15">
      <c r="A80" s="192">
        <v>80</v>
      </c>
      <c r="B80" s="193">
        <v>9.34</v>
      </c>
      <c r="C80" s="463">
        <f>Головна!$F$2*$B80*P80</f>
        <v>2683.1598948</v>
      </c>
      <c r="D80" s="463"/>
      <c r="E80" s="463">
        <f>Головна!$F$2*$B80*Q80</f>
        <v>2771.3875896</v>
      </c>
      <c r="F80" s="463"/>
      <c r="G80" s="463"/>
      <c r="H80" s="463">
        <f>Головна!$F$2*$B80*R80</f>
        <v>2771.3875896</v>
      </c>
      <c r="I80" s="463"/>
      <c r="J80" s="463"/>
      <c r="P80" s="191">
        <v>9.7713</v>
      </c>
      <c r="Q80" s="191">
        <v>10.0926</v>
      </c>
      <c r="R80" s="191">
        <v>10.0926</v>
      </c>
    </row>
    <row r="81" spans="1:18" ht="15">
      <c r="A81" s="192">
        <v>85</v>
      </c>
      <c r="B81" s="193">
        <v>10.56</v>
      </c>
      <c r="C81" s="463">
        <f>Головна!$F$2*$B81*P81</f>
        <v>3033.6368832</v>
      </c>
      <c r="D81" s="463"/>
      <c r="E81" s="463">
        <f>Головна!$F$2*$B81*Q81</f>
        <v>3133.3889664</v>
      </c>
      <c r="F81" s="463"/>
      <c r="G81" s="463"/>
      <c r="H81" s="463">
        <f>Головна!$F$2*$B81*R81</f>
        <v>3133.3889664</v>
      </c>
      <c r="I81" s="463"/>
      <c r="J81" s="463"/>
      <c r="P81" s="191">
        <v>9.7713</v>
      </c>
      <c r="Q81" s="191">
        <v>10.0926</v>
      </c>
      <c r="R81" s="191">
        <v>10.0926</v>
      </c>
    </row>
    <row r="82" spans="1:18" ht="15">
      <c r="A82" s="192">
        <v>90</v>
      </c>
      <c r="B82" s="193">
        <v>11.84</v>
      </c>
      <c r="C82" s="463">
        <f>Головна!$F$2*$B82*P82</f>
        <v>3401.3504448</v>
      </c>
      <c r="D82" s="463"/>
      <c r="E82" s="463">
        <f>Головна!$F$2*$B82*Q82</f>
        <v>3513.1936895999997</v>
      </c>
      <c r="F82" s="463"/>
      <c r="G82" s="463"/>
      <c r="H82" s="463">
        <f>Головна!$F$2*$B82*R82</f>
        <v>3513.1936895999997</v>
      </c>
      <c r="I82" s="463"/>
      <c r="J82" s="463"/>
      <c r="P82" s="191">
        <v>9.7713</v>
      </c>
      <c r="Q82" s="191">
        <v>10.0926</v>
      </c>
      <c r="R82" s="191">
        <v>10.0926</v>
      </c>
    </row>
    <row r="83" spans="1:18" ht="15">
      <c r="A83" s="192">
        <v>100</v>
      </c>
      <c r="B83" s="193">
        <v>14.6</v>
      </c>
      <c r="C83" s="463">
        <f>Головна!$F$2*$B83*P83</f>
        <v>4194.232811999999</v>
      </c>
      <c r="D83" s="463"/>
      <c r="E83" s="463">
        <f>Головна!$F$2*$B83*Q83</f>
        <v>4332.147623999999</v>
      </c>
      <c r="F83" s="463"/>
      <c r="G83" s="463"/>
      <c r="H83" s="463">
        <f>Головна!$F$2*$B83*R83</f>
        <v>4332.147623999999</v>
      </c>
      <c r="I83" s="463"/>
      <c r="J83" s="463"/>
      <c r="P83" s="191">
        <v>9.7713</v>
      </c>
      <c r="Q83" s="191">
        <v>10.0926</v>
      </c>
      <c r="R83" s="191">
        <v>10.0926</v>
      </c>
    </row>
    <row r="84" spans="1:18" ht="15">
      <c r="A84" s="192">
        <v>110</v>
      </c>
      <c r="B84" s="193">
        <v>17.68</v>
      </c>
      <c r="C84" s="463">
        <f>Головна!$F$2*$B84*P84</f>
        <v>5079.0435695999995</v>
      </c>
      <c r="D84" s="463"/>
      <c r="E84" s="463">
        <f>Головна!$F$2*$B84*Q84</f>
        <v>5246.0527391999985</v>
      </c>
      <c r="F84" s="463"/>
      <c r="G84" s="463"/>
      <c r="H84" s="463">
        <f>Головна!$F$2*$B84*R84</f>
        <v>5246.0527391999985</v>
      </c>
      <c r="I84" s="463"/>
      <c r="J84" s="463"/>
      <c r="P84" s="191">
        <v>9.7713</v>
      </c>
      <c r="Q84" s="191">
        <v>10.0926</v>
      </c>
      <c r="R84" s="191">
        <v>10.0926</v>
      </c>
    </row>
    <row r="85" spans="1:18" ht="15">
      <c r="A85" s="192">
        <v>120</v>
      </c>
      <c r="B85" s="193">
        <v>21.04</v>
      </c>
      <c r="C85" s="463">
        <f>Головна!$F$2*$B85*P85</f>
        <v>6044.2916688</v>
      </c>
      <c r="D85" s="463"/>
      <c r="E85" s="463">
        <f>Головна!$F$2*$B85*Q85</f>
        <v>6243.040137599998</v>
      </c>
      <c r="F85" s="463"/>
      <c r="G85" s="463"/>
      <c r="H85" s="463">
        <f>Головна!$F$2*$B85*R85</f>
        <v>6243.040137599998</v>
      </c>
      <c r="I85" s="463"/>
      <c r="J85" s="463"/>
      <c r="P85" s="191">
        <v>9.7713</v>
      </c>
      <c r="Q85" s="191">
        <v>10.0926</v>
      </c>
      <c r="R85" s="191">
        <v>10.0926</v>
      </c>
    </row>
    <row r="86" spans="1:18" ht="15">
      <c r="A86" s="192">
        <v>125</v>
      </c>
      <c r="B86" s="193">
        <v>22.82</v>
      </c>
      <c r="C86" s="463">
        <f>Головна!$F$2*$B86*P86</f>
        <v>6555.6433404</v>
      </c>
      <c r="D86" s="463"/>
      <c r="E86" s="463">
        <f>Головна!$F$2*$B86*Q86</f>
        <v>6771.2060808</v>
      </c>
      <c r="F86" s="463"/>
      <c r="G86" s="463"/>
      <c r="H86" s="463">
        <f>Головна!$F$2*$B86*R86</f>
        <v>6771.2060808</v>
      </c>
      <c r="I86" s="463"/>
      <c r="J86" s="463"/>
      <c r="P86" s="191">
        <v>9.7713</v>
      </c>
      <c r="Q86" s="191">
        <v>10.0926</v>
      </c>
      <c r="R86" s="191">
        <v>10.0926</v>
      </c>
    </row>
    <row r="87" spans="1:18" ht="15">
      <c r="A87" s="192">
        <v>130</v>
      </c>
      <c r="B87" s="193">
        <v>24.68</v>
      </c>
      <c r="C87" s="463">
        <f>Головна!$F$2*$B87*P87</f>
        <v>7089.9771095999995</v>
      </c>
      <c r="D87" s="463"/>
      <c r="E87" s="463">
        <f>Головна!$F$2*$B87*Q87</f>
        <v>7323.109819199999</v>
      </c>
      <c r="F87" s="463"/>
      <c r="G87" s="463"/>
      <c r="H87" s="463">
        <f>Головна!$F$2*$B87*R87</f>
        <v>7323.109819199999</v>
      </c>
      <c r="I87" s="463"/>
      <c r="J87" s="463"/>
      <c r="P87" s="191">
        <v>9.7713</v>
      </c>
      <c r="Q87" s="191">
        <v>10.0926</v>
      </c>
      <c r="R87" s="191">
        <v>10.0926</v>
      </c>
    </row>
    <row r="88" spans="1:18" ht="15">
      <c r="A88" s="192">
        <v>140</v>
      </c>
      <c r="B88" s="193">
        <v>28.64</v>
      </c>
      <c r="C88" s="463">
        <f>Головна!$F$2*$B88*P88</f>
        <v>8227.590940799999</v>
      </c>
      <c r="D88" s="463"/>
      <c r="E88" s="463">
        <f>Головна!$F$2*$B88*Q88</f>
        <v>8498.1306816</v>
      </c>
      <c r="F88" s="463"/>
      <c r="G88" s="463"/>
      <c r="H88" s="463">
        <f>Головна!$F$2*$B88*R88</f>
        <v>8498.1306816</v>
      </c>
      <c r="I88" s="463"/>
      <c r="J88" s="463"/>
      <c r="P88" s="191">
        <v>9.7713</v>
      </c>
      <c r="Q88" s="191">
        <v>10.0926</v>
      </c>
      <c r="R88" s="191">
        <v>10.0926</v>
      </c>
    </row>
    <row r="89" spans="1:18" ht="15">
      <c r="A89" s="192">
        <v>150</v>
      </c>
      <c r="B89" s="193">
        <v>32.86</v>
      </c>
      <c r="C89" s="463">
        <f>Головна!$F$2*$B89*P89</f>
        <v>9439.8965892</v>
      </c>
      <c r="D89" s="463"/>
      <c r="E89" s="463">
        <f>Головна!$F$2*$B89*Q89</f>
        <v>9750.2993784</v>
      </c>
      <c r="F89" s="463"/>
      <c r="G89" s="463"/>
      <c r="H89" s="463">
        <f>Головна!$F$2*$B89*R89</f>
        <v>9750.2993784</v>
      </c>
      <c r="I89" s="463"/>
      <c r="J89" s="463"/>
      <c r="P89" s="191">
        <v>9.7713</v>
      </c>
      <c r="Q89" s="191">
        <v>10.0926</v>
      </c>
      <c r="R89" s="191">
        <v>10.0926</v>
      </c>
    </row>
    <row r="90" spans="1:18" ht="15">
      <c r="A90" s="192">
        <v>160</v>
      </c>
      <c r="B90" s="193">
        <v>37.4</v>
      </c>
      <c r="C90" s="463">
        <f>Головна!$F$2*$B90*P90</f>
        <v>10744.130627999999</v>
      </c>
      <c r="D90" s="463"/>
      <c r="E90" s="463">
        <f>Головна!$F$2*$B90*Q90</f>
        <v>11097.419256</v>
      </c>
      <c r="F90" s="463"/>
      <c r="G90" s="463"/>
      <c r="H90" s="463">
        <f>Головна!$F$2*$B90*R90</f>
        <v>11097.419256</v>
      </c>
      <c r="I90" s="463"/>
      <c r="J90" s="463"/>
      <c r="P90" s="191">
        <v>9.7713</v>
      </c>
      <c r="Q90" s="191">
        <v>10.0926</v>
      </c>
      <c r="R90" s="191">
        <v>10.0926</v>
      </c>
    </row>
    <row r="91" spans="1:18" ht="15">
      <c r="A91" s="192">
        <v>180</v>
      </c>
      <c r="B91" s="193">
        <v>47.34</v>
      </c>
      <c r="C91" s="463">
        <f>Головна!$F$2*$B91*P91</f>
        <v>13599.6562548</v>
      </c>
      <c r="D91" s="463"/>
      <c r="E91" s="463">
        <f>Головна!$F$2*$B91*Q91</f>
        <v>14046.8403096</v>
      </c>
      <c r="F91" s="463"/>
      <c r="G91" s="463"/>
      <c r="H91" s="463">
        <f>Головна!$F$2*$B91*R91</f>
        <v>14046.8403096</v>
      </c>
      <c r="I91" s="463"/>
      <c r="J91" s="463"/>
      <c r="P91" s="191">
        <v>9.7713</v>
      </c>
      <c r="Q91" s="191">
        <v>10.0926</v>
      </c>
      <c r="R91" s="191">
        <v>10.0926</v>
      </c>
    </row>
    <row r="92" spans="1:18" ht="15">
      <c r="A92" s="192">
        <v>200</v>
      </c>
      <c r="B92" s="193">
        <v>58.44</v>
      </c>
      <c r="C92" s="463">
        <f>Головна!$F$2*$B92*P92</f>
        <v>16788.422296799996</v>
      </c>
      <c r="D92" s="463"/>
      <c r="E92" s="463">
        <f>Головна!$F$2*$B92*Q92</f>
        <v>17340.459393599995</v>
      </c>
      <c r="F92" s="463"/>
      <c r="G92" s="463"/>
      <c r="H92" s="463">
        <f>Головна!$F$2*$B92*R92</f>
        <v>17340.459393599995</v>
      </c>
      <c r="I92" s="463"/>
      <c r="J92" s="463"/>
      <c r="P92" s="191">
        <v>9.7713</v>
      </c>
      <c r="Q92" s="191">
        <v>10.0926</v>
      </c>
      <c r="R92" s="191">
        <v>10.0926</v>
      </c>
    </row>
    <row r="93" spans="1:18" ht="15">
      <c r="A93" s="194">
        <v>250</v>
      </c>
      <c r="B93" s="195">
        <v>91.3</v>
      </c>
      <c r="C93" s="439" t="s">
        <v>399</v>
      </c>
      <c r="D93" s="439"/>
      <c r="E93" s="464">
        <f>Головна!$F$2*$B93*Q93</f>
        <v>38251.745532</v>
      </c>
      <c r="F93" s="464"/>
      <c r="G93" s="464"/>
      <c r="H93" s="464" t="s">
        <v>399</v>
      </c>
      <c r="I93" s="464"/>
      <c r="J93" s="464"/>
      <c r="P93" s="191"/>
      <c r="Q93" s="191">
        <v>14.2506</v>
      </c>
      <c r="R93" s="191"/>
    </row>
    <row r="94" spans="1:10" ht="15">
      <c r="A94" s="109"/>
      <c r="B94" s="196"/>
      <c r="C94" s="109"/>
      <c r="D94" s="197"/>
      <c r="E94" s="196"/>
      <c r="F94" s="197"/>
      <c r="G94" s="197"/>
      <c r="H94" s="196"/>
      <c r="I94" s="197"/>
      <c r="J94" s="197"/>
    </row>
    <row r="95" spans="1:18" ht="15" customHeight="1">
      <c r="A95" s="443" t="s">
        <v>398</v>
      </c>
      <c r="B95" s="443"/>
      <c r="C95" s="443"/>
      <c r="D95" s="443"/>
      <c r="E95" s="443"/>
      <c r="F95" s="443"/>
      <c r="G95" s="443"/>
      <c r="H95" s="443"/>
      <c r="I95" s="443"/>
      <c r="J95" s="443"/>
      <c r="K95" s="103"/>
      <c r="L95" s="103"/>
      <c r="M95" s="103"/>
      <c r="N95" s="103"/>
      <c r="O95" s="185"/>
      <c r="P95" s="186"/>
      <c r="Q95" s="186"/>
      <c r="R95" s="186"/>
    </row>
    <row r="96" spans="1:18" ht="15">
      <c r="A96" s="443"/>
      <c r="B96" s="443"/>
      <c r="C96" s="443"/>
      <c r="D96" s="443"/>
      <c r="E96" s="443"/>
      <c r="F96" s="443"/>
      <c r="G96" s="443"/>
      <c r="H96" s="443"/>
      <c r="I96" s="443"/>
      <c r="J96" s="443"/>
      <c r="K96" s="103"/>
      <c r="L96" s="103"/>
      <c r="M96" s="103"/>
      <c r="N96" s="103"/>
      <c r="O96" s="185"/>
      <c r="P96" s="186"/>
      <c r="Q96" s="186"/>
      <c r="R96" s="186"/>
    </row>
    <row r="97" spans="1:18" ht="15">
      <c r="A97" s="443"/>
      <c r="B97" s="443"/>
      <c r="C97" s="443"/>
      <c r="D97" s="443"/>
      <c r="E97" s="443"/>
      <c r="F97" s="443"/>
      <c r="G97" s="443"/>
      <c r="H97" s="443"/>
      <c r="I97" s="443"/>
      <c r="J97" s="443"/>
      <c r="K97" s="103"/>
      <c r="L97" s="103"/>
      <c r="M97" s="103"/>
      <c r="N97" s="103"/>
      <c r="O97" s="185"/>
      <c r="P97" s="186"/>
      <c r="Q97" s="186"/>
      <c r="R97" s="186"/>
    </row>
    <row r="98" spans="1:18" ht="15">
      <c r="A98" s="443"/>
      <c r="B98" s="443"/>
      <c r="C98" s="443"/>
      <c r="D98" s="443"/>
      <c r="E98" s="443"/>
      <c r="F98" s="443"/>
      <c r="G98" s="443"/>
      <c r="H98" s="443"/>
      <c r="I98" s="443"/>
      <c r="J98" s="443"/>
      <c r="K98" s="103"/>
      <c r="L98" s="103"/>
      <c r="M98" s="103"/>
      <c r="N98" s="103"/>
      <c r="O98" s="185"/>
      <c r="P98" s="186"/>
      <c r="Q98" s="186"/>
      <c r="R98" s="186"/>
    </row>
    <row r="99" spans="1:18" ht="15">
      <c r="A99" s="443"/>
      <c r="B99" s="443"/>
      <c r="C99" s="443"/>
      <c r="D99" s="443"/>
      <c r="E99" s="443"/>
      <c r="F99" s="443"/>
      <c r="G99" s="443"/>
      <c r="H99" s="443"/>
      <c r="I99" s="443"/>
      <c r="J99" s="443"/>
      <c r="K99" s="103"/>
      <c r="L99" s="103"/>
      <c r="M99" s="103"/>
      <c r="N99" s="103"/>
      <c r="O99" s="198"/>
      <c r="P99" s="198"/>
      <c r="Q99" s="198"/>
      <c r="R99" s="198"/>
    </row>
    <row r="100" spans="1:18" ht="15">
      <c r="A100" s="443"/>
      <c r="B100" s="443"/>
      <c r="C100" s="443"/>
      <c r="D100" s="443"/>
      <c r="E100" s="443"/>
      <c r="F100" s="443"/>
      <c r="G100" s="443"/>
      <c r="H100" s="443"/>
      <c r="I100" s="443"/>
      <c r="J100" s="443"/>
      <c r="K100" s="103"/>
      <c r="L100" s="103"/>
      <c r="M100" s="103"/>
      <c r="N100" s="103"/>
      <c r="O100" s="198"/>
      <c r="P100" s="198"/>
      <c r="Q100" s="198"/>
      <c r="R100" s="198"/>
    </row>
    <row r="101" spans="1:18" ht="15">
      <c r="A101" s="443"/>
      <c r="B101" s="443"/>
      <c r="C101" s="443"/>
      <c r="D101" s="443"/>
      <c r="E101" s="443"/>
      <c r="F101" s="443"/>
      <c r="G101" s="443"/>
      <c r="H101" s="443"/>
      <c r="I101" s="443"/>
      <c r="J101" s="443"/>
      <c r="K101" s="103"/>
      <c r="L101" s="103"/>
      <c r="M101" s="103"/>
      <c r="N101" s="103"/>
      <c r="O101" s="198"/>
      <c r="P101" s="198"/>
      <c r="Q101" s="198"/>
      <c r="R101" s="198"/>
    </row>
    <row r="102" spans="1:18" ht="15">
      <c r="A102" s="443"/>
      <c r="B102" s="443"/>
      <c r="C102" s="443"/>
      <c r="D102" s="443"/>
      <c r="E102" s="443"/>
      <c r="F102" s="443"/>
      <c r="G102" s="443"/>
      <c r="H102" s="443"/>
      <c r="I102" s="443"/>
      <c r="J102" s="443"/>
      <c r="K102" s="103"/>
      <c r="L102" s="103"/>
      <c r="M102" s="103"/>
      <c r="N102" s="103"/>
      <c r="O102" s="198"/>
      <c r="P102" s="198"/>
      <c r="Q102" s="198"/>
      <c r="R102" s="198"/>
    </row>
    <row r="103" spans="1:18" ht="15">
      <c r="A103" s="443"/>
      <c r="B103" s="443"/>
      <c r="C103" s="443"/>
      <c r="D103" s="443"/>
      <c r="E103" s="443"/>
      <c r="F103" s="443"/>
      <c r="G103" s="443"/>
      <c r="H103" s="443"/>
      <c r="I103" s="443"/>
      <c r="J103" s="443"/>
      <c r="K103" s="103"/>
      <c r="L103" s="103"/>
      <c r="M103" s="103"/>
      <c r="N103" s="103"/>
      <c r="O103" s="198"/>
      <c r="P103" s="198"/>
      <c r="Q103" s="198"/>
      <c r="R103" s="198"/>
    </row>
    <row r="104" spans="1:18" ht="15">
      <c r="A104" s="443"/>
      <c r="B104" s="443"/>
      <c r="C104" s="443"/>
      <c r="D104" s="443"/>
      <c r="E104" s="443"/>
      <c r="F104" s="443"/>
      <c r="G104" s="443"/>
      <c r="H104" s="443"/>
      <c r="I104" s="443"/>
      <c r="J104" s="443"/>
      <c r="K104" s="103"/>
      <c r="L104" s="103"/>
      <c r="M104" s="103"/>
      <c r="N104" s="103"/>
      <c r="O104" s="198"/>
      <c r="P104" s="198"/>
      <c r="Q104" s="198"/>
      <c r="R104" s="198"/>
    </row>
    <row r="105" spans="1:18" ht="15">
      <c r="A105" s="443"/>
      <c r="B105" s="443"/>
      <c r="C105" s="443"/>
      <c r="D105" s="443"/>
      <c r="E105" s="443"/>
      <c r="F105" s="443"/>
      <c r="G105" s="443"/>
      <c r="H105" s="443"/>
      <c r="I105" s="443"/>
      <c r="J105" s="443"/>
      <c r="K105" s="103"/>
      <c r="L105" s="103"/>
      <c r="M105" s="103"/>
      <c r="N105" s="103"/>
      <c r="O105" s="198"/>
      <c r="P105" s="198"/>
      <c r="Q105" s="198"/>
      <c r="R105" s="198"/>
    </row>
    <row r="106" spans="1:18" ht="15">
      <c r="A106" s="443"/>
      <c r="B106" s="443"/>
      <c r="C106" s="443"/>
      <c r="D106" s="443"/>
      <c r="E106" s="443"/>
      <c r="F106" s="443"/>
      <c r="G106" s="443"/>
      <c r="H106" s="443"/>
      <c r="I106" s="443"/>
      <c r="J106" s="443"/>
      <c r="K106" s="103"/>
      <c r="L106" s="103"/>
      <c r="M106" s="103"/>
      <c r="N106" s="103"/>
      <c r="O106" s="198"/>
      <c r="P106" s="198"/>
      <c r="Q106" s="198"/>
      <c r="R106" s="198"/>
    </row>
    <row r="107" spans="1:18" ht="15">
      <c r="A107" s="443"/>
      <c r="B107" s="443"/>
      <c r="C107" s="443"/>
      <c r="D107" s="443"/>
      <c r="E107" s="443"/>
      <c r="F107" s="443"/>
      <c r="G107" s="443"/>
      <c r="H107" s="443"/>
      <c r="I107" s="443"/>
      <c r="J107" s="443"/>
      <c r="K107" s="103"/>
      <c r="L107" s="103"/>
      <c r="M107" s="103"/>
      <c r="N107" s="103"/>
      <c r="O107" s="198"/>
      <c r="P107" s="198"/>
      <c r="Q107" s="198"/>
      <c r="R107" s="198"/>
    </row>
    <row r="108" spans="1:18" ht="15">
      <c r="A108" s="443"/>
      <c r="B108" s="443"/>
      <c r="C108" s="443"/>
      <c r="D108" s="443"/>
      <c r="E108" s="443"/>
      <c r="F108" s="443"/>
      <c r="G108" s="443"/>
      <c r="H108" s="443"/>
      <c r="I108" s="443"/>
      <c r="J108" s="443"/>
      <c r="K108" s="103"/>
      <c r="L108" s="103"/>
      <c r="M108" s="103"/>
      <c r="N108" s="103"/>
      <c r="O108" s="198"/>
      <c r="P108" s="198"/>
      <c r="Q108" s="198"/>
      <c r="R108" s="198"/>
    </row>
    <row r="109" spans="1:10" ht="15">
      <c r="A109" s="443"/>
      <c r="B109" s="443"/>
      <c r="C109" s="443"/>
      <c r="D109" s="443"/>
      <c r="E109" s="443"/>
      <c r="F109" s="443"/>
      <c r="G109" s="443"/>
      <c r="H109" s="443"/>
      <c r="I109" s="443"/>
      <c r="J109" s="443"/>
    </row>
    <row r="110" spans="1:15" ht="15">
      <c r="A110" s="443"/>
      <c r="B110" s="443"/>
      <c r="C110" s="443"/>
      <c r="D110" s="443"/>
      <c r="E110" s="443"/>
      <c r="F110" s="443"/>
      <c r="G110" s="443"/>
      <c r="H110" s="443"/>
      <c r="I110" s="443"/>
      <c r="J110" s="443"/>
      <c r="O110" s="48" t="s">
        <v>115</v>
      </c>
    </row>
    <row r="111" spans="1:10" ht="33.75" customHeight="1">
      <c r="A111" s="443"/>
      <c r="B111" s="443"/>
      <c r="C111" s="443"/>
      <c r="D111" s="443"/>
      <c r="E111" s="443"/>
      <c r="F111" s="443"/>
      <c r="G111" s="443"/>
      <c r="H111" s="443"/>
      <c r="I111" s="443"/>
      <c r="J111" s="443"/>
    </row>
    <row r="112" ht="15">
      <c r="A112" s="11" t="str">
        <f>Головна!A32</f>
        <v>Всі ціни вказані станом на 05.07.2019 р.</v>
      </c>
    </row>
  </sheetData>
  <sheetProtection selectLockedCells="1" selectUnlockedCells="1"/>
  <mergeCells count="119">
    <mergeCell ref="C93:D93"/>
    <mergeCell ref="E93:G93"/>
    <mergeCell ref="H93:J93"/>
    <mergeCell ref="A95:J111"/>
    <mergeCell ref="C91:D91"/>
    <mergeCell ref="E91:G91"/>
    <mergeCell ref="H91:J91"/>
    <mergeCell ref="C92:D92"/>
    <mergeCell ref="E92:G92"/>
    <mergeCell ref="H92:J92"/>
    <mergeCell ref="C89:D89"/>
    <mergeCell ref="E89:G89"/>
    <mergeCell ref="H89:J89"/>
    <mergeCell ref="C90:D90"/>
    <mergeCell ref="E90:G90"/>
    <mergeCell ref="H90:J90"/>
    <mergeCell ref="C87:D87"/>
    <mergeCell ref="E87:G87"/>
    <mergeCell ref="H87:J87"/>
    <mergeCell ref="C88:D88"/>
    <mergeCell ref="E88:G88"/>
    <mergeCell ref="H88:J88"/>
    <mergeCell ref="C85:D85"/>
    <mergeCell ref="E85:G85"/>
    <mergeCell ref="H85:J85"/>
    <mergeCell ref="C86:D86"/>
    <mergeCell ref="E86:G86"/>
    <mergeCell ref="H86:J86"/>
    <mergeCell ref="C83:D83"/>
    <mergeCell ref="E83:G83"/>
    <mergeCell ref="H83:J83"/>
    <mergeCell ref="C84:D84"/>
    <mergeCell ref="E84:G84"/>
    <mergeCell ref="H84:J84"/>
    <mergeCell ref="C81:D81"/>
    <mergeCell ref="E81:G81"/>
    <mergeCell ref="H81:J81"/>
    <mergeCell ref="C82:D82"/>
    <mergeCell ref="E82:G82"/>
    <mergeCell ref="H82:J82"/>
    <mergeCell ref="C79:D79"/>
    <mergeCell ref="E79:G79"/>
    <mergeCell ref="H79:J79"/>
    <mergeCell ref="C80:D80"/>
    <mergeCell ref="E80:G80"/>
    <mergeCell ref="H80:J80"/>
    <mergeCell ref="C77:D77"/>
    <mergeCell ref="E77:G77"/>
    <mergeCell ref="H77:J77"/>
    <mergeCell ref="C78:D78"/>
    <mergeCell ref="E78:G78"/>
    <mergeCell ref="H78:J78"/>
    <mergeCell ref="C75:D75"/>
    <mergeCell ref="E75:G75"/>
    <mergeCell ref="H75:J75"/>
    <mergeCell ref="C76:D76"/>
    <mergeCell ref="E76:G76"/>
    <mergeCell ref="H76:J76"/>
    <mergeCell ref="C73:D73"/>
    <mergeCell ref="E73:G73"/>
    <mergeCell ref="H73:J73"/>
    <mergeCell ref="C74:D74"/>
    <mergeCell ref="E74:G74"/>
    <mergeCell ref="H74:J74"/>
    <mergeCell ref="C71:D71"/>
    <mergeCell ref="E71:G71"/>
    <mergeCell ref="H71:J71"/>
    <mergeCell ref="C72:D72"/>
    <mergeCell ref="E72:G72"/>
    <mergeCell ref="H72:J72"/>
    <mergeCell ref="C69:D69"/>
    <mergeCell ref="E69:G69"/>
    <mergeCell ref="H69:J69"/>
    <mergeCell ref="C70:D70"/>
    <mergeCell ref="E70:G70"/>
    <mergeCell ref="H70:J70"/>
    <mergeCell ref="C67:D67"/>
    <mergeCell ref="E67:G67"/>
    <mergeCell ref="H67:J67"/>
    <mergeCell ref="C68:D68"/>
    <mergeCell ref="E68:G68"/>
    <mergeCell ref="H68:J68"/>
    <mergeCell ref="A62:G62"/>
    <mergeCell ref="A64:A66"/>
    <mergeCell ref="B64:B66"/>
    <mergeCell ref="C64:J64"/>
    <mergeCell ref="C65:J65"/>
    <mergeCell ref="C66:D66"/>
    <mergeCell ref="E66:G66"/>
    <mergeCell ref="H66:J66"/>
    <mergeCell ref="A55:J55"/>
    <mergeCell ref="A56:J56"/>
    <mergeCell ref="A60:G60"/>
    <mergeCell ref="A61:G61"/>
    <mergeCell ref="A58:I58"/>
    <mergeCell ref="A59:G59"/>
    <mergeCell ref="A39:G39"/>
    <mergeCell ref="H39:J39"/>
    <mergeCell ref="A40:A54"/>
    <mergeCell ref="B40:B54"/>
    <mergeCell ref="A22:A36"/>
    <mergeCell ref="B22:B36"/>
    <mergeCell ref="A37:J37"/>
    <mergeCell ref="A38:J38"/>
    <mergeCell ref="H13:J13"/>
    <mergeCell ref="A14:A20"/>
    <mergeCell ref="B14:B20"/>
    <mergeCell ref="A21:G21"/>
    <mergeCell ref="H21:J21"/>
    <mergeCell ref="A13:G13"/>
    <mergeCell ref="A7:D7"/>
    <mergeCell ref="I7:J10"/>
    <mergeCell ref="A8:D8"/>
    <mergeCell ref="A9:F9"/>
    <mergeCell ref="A10:D10"/>
    <mergeCell ref="A1:K2"/>
    <mergeCell ref="A3:L3"/>
    <mergeCell ref="A4:J4"/>
    <mergeCell ref="A5:J5"/>
  </mergeCells>
  <hyperlinks>
    <hyperlink ref="A10" r:id="rId1" display="http://plastics.ua/industrial/ПЭ1000"/>
    <hyperlink ref="H13" r:id="rId2" display="Смотреть на сайте"/>
    <hyperlink ref="H21" r:id="rId3" display="Смотреть на сайте"/>
    <hyperlink ref="K21" location="Главная!A1" display="на главную"/>
    <hyperlink ref="H39" r:id="rId4" display="Смотреть на сайте"/>
    <hyperlink ref="K39" location="Главная!A1" display="на главную"/>
    <hyperlink ref="A62" r:id="rId5" display="http://plastics.ua/industrial/products/construction/pe/(ПЭ-1000)"/>
  </hyperlinks>
  <printOptions/>
  <pageMargins left="0.9840277777777777" right="0.39375" top="0.39375" bottom="0.39375" header="0.5118055555555555" footer="0.5118055555555555"/>
  <pageSetup horizontalDpi="300" verticalDpi="300" orientation="portrait" paperSize="9" scale="65" r:id="rId7"/>
  <rowBreaks count="1" manualBreakCount="1">
    <brk id="56" max="255" man="1"/>
  </rowBreaks>
  <drawing r:id="rId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K23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140625" defaultRowHeight="23.25" customHeight="1"/>
  <cols>
    <col min="1" max="1" width="18.421875" style="48" customWidth="1"/>
    <col min="2" max="2" width="31.00390625" style="48" customWidth="1"/>
    <col min="3" max="3" width="7.140625" style="48" customWidth="1"/>
    <col min="4" max="4" width="7.8515625" style="48" customWidth="1"/>
    <col min="5" max="5" width="8.28125" style="48" customWidth="1"/>
    <col min="6" max="7" width="8.00390625" style="48" customWidth="1"/>
    <col min="8" max="8" width="9.28125" style="48" customWidth="1"/>
    <col min="9" max="10" width="10.8515625" style="48" customWidth="1"/>
    <col min="11" max="11" width="9.28125" style="48" customWidth="1"/>
    <col min="12" max="16384" width="9.140625" style="48" customWidth="1"/>
  </cols>
  <sheetData>
    <row r="1" spans="1:11" ht="42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s="14" customFormat="1" ht="54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0" s="14" customFormat="1" ht="18" customHeight="1">
      <c r="A3" s="502" t="s">
        <v>400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5" customHeight="1">
      <c r="A4" s="503" t="s">
        <v>334</v>
      </c>
      <c r="B4" s="404"/>
      <c r="C4" s="404"/>
      <c r="D4" s="404"/>
      <c r="E4" s="404"/>
      <c r="F4" s="404"/>
      <c r="G4" s="404"/>
      <c r="H4" s="404"/>
      <c r="I4" s="406"/>
      <c r="J4" s="406"/>
    </row>
    <row r="5" spans="1:10" ht="47.25" customHeight="1">
      <c r="A5" s="404"/>
      <c r="B5" s="404"/>
      <c r="C5" s="404"/>
      <c r="D5" s="404"/>
      <c r="E5" s="404"/>
      <c r="F5" s="404"/>
      <c r="G5" s="404"/>
      <c r="H5" s="404"/>
      <c r="I5" s="406"/>
      <c r="J5" s="406"/>
    </row>
    <row r="6" spans="1:10" ht="15.75">
      <c r="A6" s="199" t="s">
        <v>401</v>
      </c>
      <c r="B6" s="200"/>
      <c r="C6" s="200"/>
      <c r="D6" s="52"/>
      <c r="E6" s="404"/>
      <c r="F6" s="404"/>
      <c r="G6" s="404"/>
      <c r="H6" s="404"/>
      <c r="I6" s="406"/>
      <c r="J6" s="406"/>
    </row>
    <row r="7" spans="1:10" ht="12.75" customHeight="1">
      <c r="A7" s="504" t="s">
        <v>116</v>
      </c>
      <c r="B7" s="504"/>
      <c r="C7" s="504"/>
      <c r="D7" s="52"/>
      <c r="E7" s="404"/>
      <c r="F7" s="404"/>
      <c r="G7" s="404"/>
      <c r="H7" s="404"/>
      <c r="I7" s="406"/>
      <c r="J7" s="406"/>
    </row>
    <row r="8" spans="1:10" ht="93" customHeight="1">
      <c r="A8" s="55" t="s">
        <v>222</v>
      </c>
      <c r="B8" s="55" t="s">
        <v>312</v>
      </c>
      <c r="C8" s="56" t="s">
        <v>314</v>
      </c>
      <c r="D8" s="56" t="s">
        <v>315</v>
      </c>
      <c r="E8" s="56" t="s">
        <v>78</v>
      </c>
      <c r="F8" s="56" t="s">
        <v>317</v>
      </c>
      <c r="G8" s="56" t="s">
        <v>328</v>
      </c>
      <c r="H8" s="56" t="s">
        <v>323</v>
      </c>
      <c r="I8" s="57" t="s">
        <v>338</v>
      </c>
      <c r="J8" s="57" t="s">
        <v>322</v>
      </c>
    </row>
    <row r="9" spans="1:10" ht="16.5" customHeight="1">
      <c r="A9" s="507" t="s">
        <v>402</v>
      </c>
      <c r="B9" s="507"/>
      <c r="C9" s="507"/>
      <c r="D9" s="507"/>
      <c r="E9" s="507"/>
      <c r="F9" s="507"/>
      <c r="G9" s="506" t="s">
        <v>269</v>
      </c>
      <c r="H9" s="506"/>
      <c r="I9" s="506"/>
      <c r="J9" s="506"/>
    </row>
    <row r="10" spans="1:11" ht="15.75" customHeight="1">
      <c r="A10" s="495" t="s">
        <v>117</v>
      </c>
      <c r="B10" s="495" t="s">
        <v>403</v>
      </c>
      <c r="C10" s="147">
        <v>0.97</v>
      </c>
      <c r="D10" s="146">
        <v>12.7</v>
      </c>
      <c r="E10" s="146">
        <v>1220</v>
      </c>
      <c r="F10" s="146">
        <v>2440</v>
      </c>
      <c r="G10" s="147">
        <f>D10/1000*C10*1000</f>
        <v>12.318999999999999</v>
      </c>
      <c r="H10" s="147">
        <f>D10/1000*E10/1000*F10/1000*C10*1000</f>
        <v>36.671199200000004</v>
      </c>
      <c r="I10" s="144">
        <f>H10*K10</f>
        <v>6425.6742086208005</v>
      </c>
      <c r="J10" s="144">
        <f>I10/(F10*E10/1000000)</f>
        <v>2158.584456</v>
      </c>
      <c r="K10" s="58">
        <f>Головна!F2*5.96</f>
        <v>175.224</v>
      </c>
    </row>
    <row r="11" spans="1:11" ht="15">
      <c r="A11" s="495"/>
      <c r="B11" s="495"/>
      <c r="C11" s="154">
        <v>0.97</v>
      </c>
      <c r="D11" s="153">
        <v>15</v>
      </c>
      <c r="E11" s="153">
        <v>1220</v>
      </c>
      <c r="F11" s="153">
        <v>2440</v>
      </c>
      <c r="G11" s="154">
        <f>D11/1000*C11*1000</f>
        <v>14.549999999999999</v>
      </c>
      <c r="H11" s="154">
        <f>D11/1000*E11/1000*F11/1000*C11*1000</f>
        <v>43.31244</v>
      </c>
      <c r="I11" s="151">
        <f>H11*K11</f>
        <v>7589.37898656</v>
      </c>
      <c r="J11" s="151">
        <f>I11/(F11*E11/1000000)</f>
        <v>2549.5092</v>
      </c>
      <c r="K11" s="58">
        <f>Головна!F2*5.96</f>
        <v>175.224</v>
      </c>
    </row>
    <row r="12" spans="1:11" ht="15">
      <c r="A12" s="495"/>
      <c r="B12" s="495"/>
      <c r="C12" s="164">
        <v>0.97</v>
      </c>
      <c r="D12" s="201">
        <v>19</v>
      </c>
      <c r="E12" s="201">
        <v>1220</v>
      </c>
      <c r="F12" s="201">
        <v>2440</v>
      </c>
      <c r="G12" s="164">
        <f>D12/1000*C12*1000</f>
        <v>18.43</v>
      </c>
      <c r="H12" s="164">
        <f>D12/1000*E12/1000*F12/1000*C12*1000</f>
        <v>54.86242399999999</v>
      </c>
      <c r="I12" s="165">
        <f>H12*K12</f>
        <v>9613.213382975997</v>
      </c>
      <c r="J12" s="165">
        <f>I12/(F12*E12/1000000)</f>
        <v>3229.378319999999</v>
      </c>
      <c r="K12" s="58">
        <f>Головна!F2*5.96</f>
        <v>175.224</v>
      </c>
    </row>
    <row r="13" spans="1:11" ht="16.5" customHeight="1">
      <c r="A13" s="505" t="s">
        <v>405</v>
      </c>
      <c r="B13" s="505"/>
      <c r="C13" s="505"/>
      <c r="D13" s="505"/>
      <c r="E13" s="505"/>
      <c r="F13" s="505"/>
      <c r="G13" s="506" t="s">
        <v>269</v>
      </c>
      <c r="H13" s="506"/>
      <c r="I13" s="506"/>
      <c r="J13" s="506"/>
      <c r="K13" s="58"/>
    </row>
    <row r="14" spans="1:11" ht="39" customHeight="1">
      <c r="A14" s="495" t="s">
        <v>118</v>
      </c>
      <c r="B14" s="495" t="s">
        <v>404</v>
      </c>
      <c r="C14" s="147">
        <v>0.97</v>
      </c>
      <c r="D14" s="146">
        <v>12.7</v>
      </c>
      <c r="E14" s="146">
        <v>1220</v>
      </c>
      <c r="F14" s="146">
        <v>2440</v>
      </c>
      <c r="G14" s="147">
        <f>D14/1000*C14*1000</f>
        <v>12.318999999999999</v>
      </c>
      <c r="H14" s="147">
        <f>D14/1000*E14/1000*F14/1000*C14*1000</f>
        <v>36.671199200000004</v>
      </c>
      <c r="I14" s="147">
        <f>H14*K14</f>
        <v>7007.866167120001</v>
      </c>
      <c r="J14" s="147">
        <f>I14/(F14*E14/1000000)</f>
        <v>2354.1609000000003</v>
      </c>
      <c r="K14" s="58">
        <f>Головна!F2*6.5</f>
        <v>191.1</v>
      </c>
    </row>
    <row r="15" spans="1:11" ht="43.5" customHeight="1">
      <c r="A15" s="495"/>
      <c r="B15" s="495"/>
      <c r="C15" s="154">
        <v>0.97</v>
      </c>
      <c r="D15" s="153">
        <v>15</v>
      </c>
      <c r="E15" s="153">
        <v>1220</v>
      </c>
      <c r="F15" s="153">
        <v>2440</v>
      </c>
      <c r="G15" s="154">
        <f>D15/1000*C15*1000</f>
        <v>14.549999999999999</v>
      </c>
      <c r="H15" s="154">
        <f>D15/1000*E15/1000*F15/1000*C15*1000</f>
        <v>43.31244</v>
      </c>
      <c r="I15" s="154">
        <f>H15*K15</f>
        <v>8277.007284</v>
      </c>
      <c r="J15" s="154">
        <f>I15/(F15*E15/1000000)</f>
        <v>2780.505</v>
      </c>
      <c r="K15" s="58">
        <f>Головна!F2*6.5</f>
        <v>191.1</v>
      </c>
    </row>
    <row r="16" spans="1:11" ht="42" customHeight="1">
      <c r="A16" s="495"/>
      <c r="B16" s="495"/>
      <c r="C16" s="164">
        <v>0.97</v>
      </c>
      <c r="D16" s="201">
        <v>17</v>
      </c>
      <c r="E16" s="201">
        <v>1220</v>
      </c>
      <c r="F16" s="201">
        <v>2440</v>
      </c>
      <c r="G16" s="164">
        <f>D16/1000*C16*1000</f>
        <v>16.490000000000002</v>
      </c>
      <c r="H16" s="164">
        <f>D16/1000*E16/1000*F16/1000*C16*1000</f>
        <v>49.087432</v>
      </c>
      <c r="I16" s="164">
        <f>H16*K16</f>
        <v>9380.608255199999</v>
      </c>
      <c r="J16" s="164">
        <f>I16/(F16*E16/1000000)</f>
        <v>3151.2389999999996</v>
      </c>
      <c r="K16" s="58">
        <f>Головна!F2*6.5</f>
        <v>191.1</v>
      </c>
    </row>
    <row r="17" spans="1:11" ht="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34" t="s">
        <v>226</v>
      </c>
    </row>
    <row r="18" spans="1:10" ht="12.75" customHeight="1">
      <c r="A18" s="409" t="s">
        <v>526</v>
      </c>
      <c r="B18" s="409"/>
      <c r="C18" s="409"/>
      <c r="D18" s="409"/>
      <c r="E18" s="409"/>
      <c r="F18" s="409"/>
      <c r="G18" s="409"/>
      <c r="H18" s="409"/>
      <c r="I18" s="409"/>
      <c r="J18" s="409"/>
    </row>
    <row r="19" spans="1:10" ht="16.5" customHeight="1">
      <c r="A19" s="409"/>
      <c r="B19" s="409"/>
      <c r="C19" s="409"/>
      <c r="D19" s="409"/>
      <c r="E19" s="409"/>
      <c r="F19" s="409"/>
      <c r="G19" s="409"/>
      <c r="H19" s="409"/>
      <c r="I19" s="409"/>
      <c r="J19" s="409"/>
    </row>
    <row r="20" spans="1:10" ht="18.75" customHeight="1">
      <c r="A20" s="409"/>
      <c r="B20" s="409"/>
      <c r="C20" s="409"/>
      <c r="D20" s="409"/>
      <c r="E20" s="409"/>
      <c r="F20" s="409"/>
      <c r="G20" s="409"/>
      <c r="H20" s="409"/>
      <c r="I20" s="409"/>
      <c r="J20" s="409"/>
    </row>
    <row r="21" spans="1:10" ht="19.5" customHeight="1">
      <c r="A21" s="409"/>
      <c r="B21" s="409"/>
      <c r="C21" s="409"/>
      <c r="D21" s="409"/>
      <c r="E21" s="409"/>
      <c r="F21" s="409"/>
      <c r="G21" s="409"/>
      <c r="H21" s="409"/>
      <c r="I21" s="409"/>
      <c r="J21" s="409"/>
    </row>
    <row r="23" ht="15">
      <c r="A23" s="11" t="str">
        <f>Головна!A32</f>
        <v>Всі ціни вказані станом на 05.07.2019 р.</v>
      </c>
    </row>
    <row r="65536" ht="15"/>
  </sheetData>
  <sheetProtection selectLockedCells="1" selectUnlockedCells="1"/>
  <mergeCells count="15">
    <mergeCell ref="A18:J21"/>
    <mergeCell ref="A13:F13"/>
    <mergeCell ref="G13:J13"/>
    <mergeCell ref="A14:A16"/>
    <mergeCell ref="B14:B16"/>
    <mergeCell ref="A9:F9"/>
    <mergeCell ref="G9:J9"/>
    <mergeCell ref="A10:A12"/>
    <mergeCell ref="B10:B12"/>
    <mergeCell ref="A1:K2"/>
    <mergeCell ref="A3:J3"/>
    <mergeCell ref="A4:D5"/>
    <mergeCell ref="E4:H7"/>
    <mergeCell ref="I4:J7"/>
    <mergeCell ref="A7:C7"/>
  </mergeCells>
  <hyperlinks>
    <hyperlink ref="A7" r:id="rId1" display="www.plastics.ua/industrial/Play-Tec®"/>
    <hyperlink ref="G9" r:id="rId2" display="Смотреть на сайте"/>
    <hyperlink ref="G13" r:id="rId3" display="Смотреть на сайте"/>
    <hyperlink ref="K17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70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M7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P18" sqref="P18:P19"/>
    </sheetView>
  </sheetViews>
  <sheetFormatPr defaultColWidth="9.140625" defaultRowHeight="12.75"/>
  <cols>
    <col min="1" max="1" width="23.421875" style="48" customWidth="1"/>
    <col min="2" max="2" width="16.140625" style="48" customWidth="1"/>
    <col min="3" max="3" width="9.28125" style="48" customWidth="1"/>
    <col min="4" max="4" width="6.421875" style="48" customWidth="1"/>
    <col min="5" max="5" width="10.8515625" style="48" customWidth="1"/>
    <col min="6" max="6" width="10.00390625" style="48" customWidth="1"/>
    <col min="7" max="7" width="9.28125" style="48" customWidth="1"/>
    <col min="8" max="9" width="11.00390625" style="48" customWidth="1"/>
    <col min="10" max="10" width="10.8515625" style="48" customWidth="1"/>
    <col min="11" max="16384" width="9.140625" style="48" customWidth="1"/>
  </cols>
  <sheetData>
    <row r="1" spans="1:12" ht="45" customHeight="1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3"/>
    </row>
    <row r="2" spans="1:12" s="14" customFormat="1" ht="24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3"/>
    </row>
    <row r="3" spans="1:13" ht="19.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3"/>
      <c r="M3" s="202"/>
    </row>
    <row r="4" spans="1:10" ht="15.75" customHeight="1">
      <c r="A4" s="454" t="s">
        <v>186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2" ht="27.75" customHeight="1">
      <c r="A5" s="404" t="s">
        <v>119</v>
      </c>
      <c r="B5" s="404"/>
      <c r="C5" s="404"/>
      <c r="D5" s="404"/>
      <c r="E5" s="404"/>
      <c r="F5" s="404"/>
      <c r="G5" s="404"/>
      <c r="H5" s="404"/>
      <c r="I5" s="485"/>
      <c r="J5" s="113"/>
      <c r="K5" s="113"/>
      <c r="L5" s="3"/>
    </row>
    <row r="6" spans="1:12" ht="19.5" customHeight="1">
      <c r="A6" s="408" t="s">
        <v>332</v>
      </c>
      <c r="B6" s="408"/>
      <c r="C6" s="408"/>
      <c r="D6" s="408"/>
      <c r="E6" s="51"/>
      <c r="F6" s="404"/>
      <c r="G6" s="404"/>
      <c r="H6" s="404"/>
      <c r="I6" s="485"/>
      <c r="J6" s="113"/>
      <c r="K6" s="113"/>
      <c r="L6" s="3"/>
    </row>
    <row r="7" spans="1:12" ht="15.75" customHeight="1">
      <c r="A7" s="416" t="s">
        <v>220</v>
      </c>
      <c r="B7" s="416"/>
      <c r="C7" s="416"/>
      <c r="D7" s="416"/>
      <c r="E7" s="416"/>
      <c r="F7" s="404"/>
      <c r="G7" s="404"/>
      <c r="H7" s="404"/>
      <c r="I7" s="485"/>
      <c r="J7" s="3"/>
      <c r="K7" s="3"/>
      <c r="L7" s="3"/>
    </row>
    <row r="8" spans="1:12" ht="15" customHeight="1">
      <c r="A8" s="417" t="s">
        <v>187</v>
      </c>
      <c r="B8" s="417"/>
      <c r="C8" s="417"/>
      <c r="D8" s="417"/>
      <c r="E8" s="417"/>
      <c r="F8" s="404"/>
      <c r="G8" s="404"/>
      <c r="H8" s="404"/>
      <c r="I8" s="485"/>
      <c r="J8" s="203"/>
      <c r="K8" s="3"/>
      <c r="L8" s="3"/>
    </row>
    <row r="9" spans="1:12" ht="86.25">
      <c r="A9" s="141" t="s">
        <v>222</v>
      </c>
      <c r="B9" s="141" t="s">
        <v>312</v>
      </c>
      <c r="C9" s="142" t="s">
        <v>314</v>
      </c>
      <c r="D9" s="142" t="s">
        <v>315</v>
      </c>
      <c r="E9" s="142" t="s">
        <v>78</v>
      </c>
      <c r="F9" s="142" t="s">
        <v>317</v>
      </c>
      <c r="G9" s="142" t="s">
        <v>328</v>
      </c>
      <c r="H9" s="176" t="s">
        <v>323</v>
      </c>
      <c r="I9" s="177" t="s">
        <v>338</v>
      </c>
      <c r="J9" s="177" t="s">
        <v>322</v>
      </c>
      <c r="K9" s="58"/>
      <c r="L9" s="3"/>
    </row>
    <row r="10" spans="1:12" ht="19.5" customHeight="1">
      <c r="A10" s="491" t="s">
        <v>345</v>
      </c>
      <c r="B10" s="491"/>
      <c r="C10" s="491"/>
      <c r="D10" s="491"/>
      <c r="E10" s="491"/>
      <c r="F10" s="491"/>
      <c r="G10" s="491"/>
      <c r="H10" s="493" t="s">
        <v>269</v>
      </c>
      <c r="I10" s="493"/>
      <c r="J10" s="493"/>
      <c r="K10" s="58"/>
      <c r="L10" s="3"/>
    </row>
    <row r="11" spans="1:12" ht="15" customHeight="1">
      <c r="A11" s="508" t="s">
        <v>120</v>
      </c>
      <c r="B11" s="508" t="s">
        <v>298</v>
      </c>
      <c r="C11" s="144">
        <v>1.47</v>
      </c>
      <c r="D11" s="145">
        <v>1</v>
      </c>
      <c r="E11" s="204">
        <v>1000</v>
      </c>
      <c r="F11" s="204">
        <v>2000</v>
      </c>
      <c r="G11" s="205">
        <f aca="true" t="shared" si="0" ref="G11:G32">D11/1000*C11*1000</f>
        <v>1.47</v>
      </c>
      <c r="H11" s="206">
        <f aca="true" t="shared" si="1" ref="H11:H32">D11/1000*E11/1000*F11/1000*C11*1000</f>
        <v>2.94</v>
      </c>
      <c r="I11" s="144">
        <f aca="true" t="shared" si="2" ref="I11:I32">H11*K11</f>
        <v>448.01507519999996</v>
      </c>
      <c r="J11" s="144">
        <f aca="true" t="shared" si="3" ref="J11:J32">I11/(F11*E11/1000000)</f>
        <v>224.00753759999998</v>
      </c>
      <c r="K11" s="58">
        <f>Головна!F2*5.1832</f>
        <v>152.38608</v>
      </c>
      <c r="L11" s="3"/>
    </row>
    <row r="12" spans="1:12" ht="15">
      <c r="A12" s="508"/>
      <c r="B12" s="508"/>
      <c r="C12" s="151">
        <v>1.47</v>
      </c>
      <c r="D12" s="207">
        <v>1.5</v>
      </c>
      <c r="E12" s="208">
        <v>1000</v>
      </c>
      <c r="F12" s="208">
        <v>2000</v>
      </c>
      <c r="G12" s="209">
        <f t="shared" si="0"/>
        <v>2.205</v>
      </c>
      <c r="H12" s="210">
        <f t="shared" si="1"/>
        <v>4.41</v>
      </c>
      <c r="I12" s="150">
        <f t="shared" si="2"/>
        <v>672.02520588</v>
      </c>
      <c r="J12" s="150">
        <f t="shared" si="3"/>
        <v>336.01260294</v>
      </c>
      <c r="K12" s="58">
        <f>Головна!F2*5.18322</f>
        <v>152.38666800000001</v>
      </c>
      <c r="L12" s="3"/>
    </row>
    <row r="13" spans="1:12" ht="15">
      <c r="A13" s="508"/>
      <c r="B13" s="508"/>
      <c r="C13" s="211">
        <v>1.47</v>
      </c>
      <c r="D13" s="152">
        <v>2</v>
      </c>
      <c r="E13" s="211">
        <v>1000</v>
      </c>
      <c r="F13" s="211">
        <v>2000</v>
      </c>
      <c r="G13" s="209">
        <f t="shared" si="0"/>
        <v>2.94</v>
      </c>
      <c r="H13" s="210">
        <f t="shared" si="1"/>
        <v>5.88</v>
      </c>
      <c r="I13" s="150">
        <f t="shared" si="2"/>
        <v>746.6946732</v>
      </c>
      <c r="J13" s="150">
        <f t="shared" si="3"/>
        <v>373.3473366</v>
      </c>
      <c r="K13" s="58">
        <f>Головна!F2*4.31935</f>
        <v>126.98889</v>
      </c>
      <c r="L13" s="3"/>
    </row>
    <row r="14" spans="1:12" ht="15">
      <c r="A14" s="508"/>
      <c r="B14" s="508"/>
      <c r="C14" s="211">
        <v>1.47</v>
      </c>
      <c r="D14" s="152">
        <v>2.5</v>
      </c>
      <c r="E14" s="208">
        <v>1000</v>
      </c>
      <c r="F14" s="208">
        <v>2000</v>
      </c>
      <c r="G14" s="209">
        <f t="shared" si="0"/>
        <v>3.675</v>
      </c>
      <c r="H14" s="210">
        <f t="shared" si="1"/>
        <v>7.35</v>
      </c>
      <c r="I14" s="150">
        <f t="shared" si="2"/>
        <v>933.3683414999999</v>
      </c>
      <c r="J14" s="150">
        <f t="shared" si="3"/>
        <v>466.68417074999996</v>
      </c>
      <c r="K14" s="58">
        <f>Головна!F2*4.31935</f>
        <v>126.98889</v>
      </c>
      <c r="L14" s="3"/>
    </row>
    <row r="15" spans="1:12" ht="15">
      <c r="A15" s="508"/>
      <c r="B15" s="508"/>
      <c r="C15" s="211">
        <v>1.47</v>
      </c>
      <c r="D15" s="152">
        <v>3</v>
      </c>
      <c r="E15" s="211">
        <v>1000</v>
      </c>
      <c r="F15" s="211">
        <v>2000</v>
      </c>
      <c r="G15" s="212">
        <f t="shared" si="0"/>
        <v>4.41</v>
      </c>
      <c r="H15" s="213">
        <f t="shared" si="1"/>
        <v>8.82</v>
      </c>
      <c r="I15" s="214">
        <f t="shared" si="2"/>
        <v>1120.0420098</v>
      </c>
      <c r="J15" s="214">
        <f t="shared" si="3"/>
        <v>560.0210049</v>
      </c>
      <c r="K15" s="58">
        <f>Головна!F2*4.31935</f>
        <v>126.98889</v>
      </c>
      <c r="L15" s="3"/>
    </row>
    <row r="16" spans="1:12" ht="15">
      <c r="A16" s="508"/>
      <c r="B16" s="508"/>
      <c r="C16" s="211">
        <v>1.47</v>
      </c>
      <c r="D16" s="152">
        <v>4</v>
      </c>
      <c r="E16" s="215">
        <v>1000</v>
      </c>
      <c r="F16" s="208">
        <v>2000</v>
      </c>
      <c r="G16" s="209">
        <f t="shared" si="0"/>
        <v>5.88</v>
      </c>
      <c r="H16" s="210">
        <f t="shared" si="1"/>
        <v>11.76</v>
      </c>
      <c r="I16" s="150">
        <f t="shared" si="2"/>
        <v>1493.3893464</v>
      </c>
      <c r="J16" s="216">
        <f t="shared" si="3"/>
        <v>746.6946732</v>
      </c>
      <c r="K16" s="58">
        <f>Головна!F$2*4.31935</f>
        <v>126.98889</v>
      </c>
      <c r="L16" s="3"/>
    </row>
    <row r="17" spans="1:12" ht="15">
      <c r="A17" s="508"/>
      <c r="B17" s="508"/>
      <c r="C17" s="211">
        <v>1.47</v>
      </c>
      <c r="D17" s="152">
        <v>4.5</v>
      </c>
      <c r="E17" s="217">
        <v>1000</v>
      </c>
      <c r="F17" s="217">
        <v>2000</v>
      </c>
      <c r="G17" s="218">
        <f t="shared" si="0"/>
        <v>6.614999999999999</v>
      </c>
      <c r="H17" s="219">
        <f t="shared" si="1"/>
        <v>13.229999999999999</v>
      </c>
      <c r="I17" s="220">
        <f t="shared" si="2"/>
        <v>1680.0630146999997</v>
      </c>
      <c r="J17" s="220">
        <f t="shared" si="3"/>
        <v>840.0315073499999</v>
      </c>
      <c r="K17" s="58">
        <f>Головна!F$2*4.31935</f>
        <v>126.98889</v>
      </c>
      <c r="L17" s="3"/>
    </row>
    <row r="18" spans="1:12" ht="15">
      <c r="A18" s="508"/>
      <c r="B18" s="508"/>
      <c r="C18" s="211">
        <v>1.47</v>
      </c>
      <c r="D18" s="152">
        <v>5</v>
      </c>
      <c r="E18" s="208">
        <v>1000</v>
      </c>
      <c r="F18" s="208">
        <v>2000</v>
      </c>
      <c r="G18" s="209">
        <f t="shared" si="0"/>
        <v>7.35</v>
      </c>
      <c r="H18" s="210">
        <f t="shared" si="1"/>
        <v>14.7</v>
      </c>
      <c r="I18" s="150">
        <f t="shared" si="2"/>
        <v>1866.7366829999999</v>
      </c>
      <c r="J18" s="150">
        <f t="shared" si="3"/>
        <v>933.3683414999999</v>
      </c>
      <c r="K18" s="58">
        <f>Головна!F$2*4.31935</f>
        <v>126.98889</v>
      </c>
      <c r="L18" s="3"/>
    </row>
    <row r="19" spans="1:12" ht="15">
      <c r="A19" s="508"/>
      <c r="B19" s="508"/>
      <c r="C19" s="211">
        <v>1.47</v>
      </c>
      <c r="D19" s="152">
        <v>6</v>
      </c>
      <c r="E19" s="208">
        <v>1000</v>
      </c>
      <c r="F19" s="208">
        <v>2000</v>
      </c>
      <c r="G19" s="209">
        <f t="shared" si="0"/>
        <v>8.82</v>
      </c>
      <c r="H19" s="210">
        <f t="shared" si="1"/>
        <v>17.64</v>
      </c>
      <c r="I19" s="150">
        <f t="shared" si="2"/>
        <v>2240.0840196</v>
      </c>
      <c r="J19" s="150">
        <f t="shared" si="3"/>
        <v>1120.0420098</v>
      </c>
      <c r="K19" s="58">
        <f>Головна!F$2*4.31935</f>
        <v>126.98889</v>
      </c>
      <c r="L19" s="3"/>
    </row>
    <row r="20" spans="1:12" ht="15">
      <c r="A20" s="508"/>
      <c r="B20" s="508"/>
      <c r="C20" s="211">
        <v>1.47</v>
      </c>
      <c r="D20" s="152">
        <v>7</v>
      </c>
      <c r="E20" s="208">
        <v>1000</v>
      </c>
      <c r="F20" s="208">
        <v>2000</v>
      </c>
      <c r="G20" s="209">
        <f t="shared" si="0"/>
        <v>10.290000000000001</v>
      </c>
      <c r="H20" s="210">
        <f t="shared" si="1"/>
        <v>20.580000000000002</v>
      </c>
      <c r="I20" s="150">
        <f t="shared" si="2"/>
        <v>2613.4313562</v>
      </c>
      <c r="J20" s="150">
        <f t="shared" si="3"/>
        <v>1306.7156781</v>
      </c>
      <c r="K20" s="58">
        <f>Головна!F$2*4.31935</f>
        <v>126.98889</v>
      </c>
      <c r="L20" s="3"/>
    </row>
    <row r="21" spans="1:12" ht="15.75">
      <c r="A21" s="508"/>
      <c r="B21" s="508"/>
      <c r="C21" s="370">
        <v>1.47</v>
      </c>
      <c r="D21" s="370">
        <v>8</v>
      </c>
      <c r="E21" s="370">
        <v>1000</v>
      </c>
      <c r="F21" s="370">
        <v>2000</v>
      </c>
      <c r="G21" s="371">
        <f t="shared" si="0"/>
        <v>11.76</v>
      </c>
      <c r="H21" s="372">
        <f t="shared" si="1"/>
        <v>23.52</v>
      </c>
      <c r="I21" s="373">
        <f t="shared" si="2"/>
        <v>2986.7786928</v>
      </c>
      <c r="J21" s="373">
        <f t="shared" si="3"/>
        <v>1493.3893464</v>
      </c>
      <c r="K21" s="58">
        <f>Головна!F$2*4.31935</f>
        <v>126.98889</v>
      </c>
      <c r="L21" s="3"/>
    </row>
    <row r="22" spans="1:12" ht="15">
      <c r="A22" s="508"/>
      <c r="B22" s="508"/>
      <c r="C22" s="211">
        <v>1.47</v>
      </c>
      <c r="D22" s="211">
        <v>9</v>
      </c>
      <c r="E22" s="211">
        <v>1000</v>
      </c>
      <c r="F22" s="211">
        <v>2000</v>
      </c>
      <c r="G22" s="209">
        <f t="shared" si="0"/>
        <v>13.229999999999999</v>
      </c>
      <c r="H22" s="210">
        <f t="shared" si="1"/>
        <v>26.459999999999997</v>
      </c>
      <c r="I22" s="150">
        <f t="shared" si="2"/>
        <v>3360.1260293999994</v>
      </c>
      <c r="J22" s="150">
        <f t="shared" si="3"/>
        <v>1680.0630146999997</v>
      </c>
      <c r="K22" s="58">
        <f>Головна!F$2*4.31935</f>
        <v>126.98889</v>
      </c>
      <c r="L22" s="3"/>
    </row>
    <row r="23" spans="1:12" ht="15.75">
      <c r="A23" s="508"/>
      <c r="B23" s="508"/>
      <c r="C23" s="221">
        <v>1.47</v>
      </c>
      <c r="D23" s="221">
        <v>10</v>
      </c>
      <c r="E23" s="221">
        <v>1000</v>
      </c>
      <c r="F23" s="221">
        <v>2000</v>
      </c>
      <c r="G23" s="222">
        <f t="shared" si="0"/>
        <v>14.7</v>
      </c>
      <c r="H23" s="223">
        <f t="shared" si="1"/>
        <v>29.4</v>
      </c>
      <c r="I23" s="159">
        <f t="shared" si="2"/>
        <v>3733.4733659999997</v>
      </c>
      <c r="J23" s="159">
        <f t="shared" si="3"/>
        <v>1866.7366829999999</v>
      </c>
      <c r="K23" s="58">
        <f>Головна!F$2*4.31935</f>
        <v>126.98889</v>
      </c>
      <c r="L23" s="3"/>
    </row>
    <row r="24" spans="1:12" ht="15">
      <c r="A24" s="508"/>
      <c r="B24" s="508"/>
      <c r="C24" s="211">
        <v>1.47</v>
      </c>
      <c r="D24" s="211">
        <v>12</v>
      </c>
      <c r="E24" s="211">
        <v>1000</v>
      </c>
      <c r="F24" s="211">
        <v>2000</v>
      </c>
      <c r="G24" s="209">
        <f t="shared" si="0"/>
        <v>17.64</v>
      </c>
      <c r="H24" s="210">
        <f t="shared" si="1"/>
        <v>35.28</v>
      </c>
      <c r="I24" s="150">
        <f t="shared" si="2"/>
        <v>4480.1680392</v>
      </c>
      <c r="J24" s="150">
        <f t="shared" si="3"/>
        <v>2240.0840196</v>
      </c>
      <c r="K24" s="58">
        <f>Головна!F$2*4.31935</f>
        <v>126.98889</v>
      </c>
      <c r="L24" s="3"/>
    </row>
    <row r="25" spans="1:12" ht="15.75">
      <c r="A25" s="508"/>
      <c r="B25" s="508"/>
      <c r="C25" s="370">
        <v>1.47</v>
      </c>
      <c r="D25" s="370">
        <v>15</v>
      </c>
      <c r="E25" s="370">
        <v>1000</v>
      </c>
      <c r="F25" s="370">
        <v>2000</v>
      </c>
      <c r="G25" s="371">
        <f t="shared" si="0"/>
        <v>22.05</v>
      </c>
      <c r="H25" s="372">
        <f t="shared" si="1"/>
        <v>44.1</v>
      </c>
      <c r="I25" s="373">
        <f t="shared" si="2"/>
        <v>5600.210049</v>
      </c>
      <c r="J25" s="373">
        <f t="shared" si="3"/>
        <v>2800.1050245</v>
      </c>
      <c r="K25" s="58">
        <f>Головна!F$2*4.31935</f>
        <v>126.98889</v>
      </c>
      <c r="L25" s="3"/>
    </row>
    <row r="26" spans="1:12" ht="15">
      <c r="A26" s="508"/>
      <c r="B26" s="508"/>
      <c r="C26" s="211">
        <v>1.47</v>
      </c>
      <c r="D26" s="211">
        <v>18</v>
      </c>
      <c r="E26" s="211">
        <v>1000</v>
      </c>
      <c r="F26" s="211">
        <v>2000</v>
      </c>
      <c r="G26" s="209">
        <f t="shared" si="0"/>
        <v>26.459999999999997</v>
      </c>
      <c r="H26" s="210">
        <f t="shared" si="1"/>
        <v>52.919999999999995</v>
      </c>
      <c r="I26" s="150">
        <f t="shared" si="2"/>
        <v>6720.252058799999</v>
      </c>
      <c r="J26" s="150">
        <f t="shared" si="3"/>
        <v>3360.1260293999994</v>
      </c>
      <c r="K26" s="58">
        <f>Головна!F$2*4.31935</f>
        <v>126.98889</v>
      </c>
      <c r="L26" s="3"/>
    </row>
    <row r="27" spans="1:12" ht="15.75">
      <c r="A27" s="508"/>
      <c r="B27" s="508"/>
      <c r="C27" s="370">
        <v>1.47</v>
      </c>
      <c r="D27" s="370">
        <v>20</v>
      </c>
      <c r="E27" s="370">
        <v>1000</v>
      </c>
      <c r="F27" s="370">
        <v>2000</v>
      </c>
      <c r="G27" s="371">
        <f t="shared" si="0"/>
        <v>29.4</v>
      </c>
      <c r="H27" s="372">
        <f t="shared" si="1"/>
        <v>58.8</v>
      </c>
      <c r="I27" s="373">
        <f t="shared" si="2"/>
        <v>7466.946731999999</v>
      </c>
      <c r="J27" s="373">
        <f t="shared" si="3"/>
        <v>3733.4733659999997</v>
      </c>
      <c r="K27" s="58">
        <f>Головна!F$2*4.31935</f>
        <v>126.98889</v>
      </c>
      <c r="L27" s="3"/>
    </row>
    <row r="28" spans="1:12" ht="15">
      <c r="A28" s="508"/>
      <c r="B28" s="508"/>
      <c r="C28" s="211">
        <v>1.47</v>
      </c>
      <c r="D28" s="211">
        <v>25</v>
      </c>
      <c r="E28" s="211">
        <v>1000</v>
      </c>
      <c r="F28" s="211">
        <v>2000</v>
      </c>
      <c r="G28" s="209">
        <f t="shared" si="0"/>
        <v>36.75</v>
      </c>
      <c r="H28" s="210">
        <f t="shared" si="1"/>
        <v>73.5</v>
      </c>
      <c r="I28" s="150">
        <f t="shared" si="2"/>
        <v>9333.683415</v>
      </c>
      <c r="J28" s="150">
        <f t="shared" si="3"/>
        <v>4666.8417075</v>
      </c>
      <c r="K28" s="58">
        <f>Головна!F$2*4.31935</f>
        <v>126.98889</v>
      </c>
      <c r="L28" s="3"/>
    </row>
    <row r="29" spans="1:12" ht="15">
      <c r="A29" s="508"/>
      <c r="B29" s="508"/>
      <c r="C29" s="211">
        <v>1.47</v>
      </c>
      <c r="D29" s="211">
        <v>30</v>
      </c>
      <c r="E29" s="211">
        <v>1000</v>
      </c>
      <c r="F29" s="211">
        <v>2000</v>
      </c>
      <c r="G29" s="209">
        <f t="shared" si="0"/>
        <v>44.1</v>
      </c>
      <c r="H29" s="210">
        <f t="shared" si="1"/>
        <v>88.2</v>
      </c>
      <c r="I29" s="150">
        <f t="shared" si="2"/>
        <v>11200.420098</v>
      </c>
      <c r="J29" s="150">
        <f t="shared" si="3"/>
        <v>5600.210049</v>
      </c>
      <c r="K29" s="58">
        <f>Головна!F$2*4.31935</f>
        <v>126.98889</v>
      </c>
      <c r="L29" s="3"/>
    </row>
    <row r="30" spans="1:12" ht="15">
      <c r="A30" s="508"/>
      <c r="B30" s="508"/>
      <c r="C30" s="211">
        <v>1.47</v>
      </c>
      <c r="D30" s="211">
        <v>35</v>
      </c>
      <c r="E30" s="211">
        <v>1000</v>
      </c>
      <c r="F30" s="211">
        <v>2000</v>
      </c>
      <c r="G30" s="209">
        <f t="shared" si="0"/>
        <v>51.45</v>
      </c>
      <c r="H30" s="210">
        <f t="shared" si="1"/>
        <v>102.9</v>
      </c>
      <c r="I30" s="150">
        <f t="shared" si="2"/>
        <v>17529.112755</v>
      </c>
      <c r="J30" s="150">
        <f t="shared" si="3"/>
        <v>8764.5563775</v>
      </c>
      <c r="K30" s="58">
        <f>Головна!F$2*5.79425</f>
        <v>170.35094999999998</v>
      </c>
      <c r="L30" s="3"/>
    </row>
    <row r="31" spans="1:12" ht="15">
      <c r="A31" s="508"/>
      <c r="B31" s="508"/>
      <c r="C31" s="211">
        <v>1.47</v>
      </c>
      <c r="D31" s="211">
        <v>40</v>
      </c>
      <c r="E31" s="211">
        <v>1000</v>
      </c>
      <c r="F31" s="211">
        <v>2000</v>
      </c>
      <c r="G31" s="209">
        <f t="shared" si="0"/>
        <v>58.8</v>
      </c>
      <c r="H31" s="210">
        <f t="shared" si="1"/>
        <v>117.6</v>
      </c>
      <c r="I31" s="150">
        <f t="shared" si="2"/>
        <v>20033.271719999997</v>
      </c>
      <c r="J31" s="150">
        <f t="shared" si="3"/>
        <v>10016.635859999999</v>
      </c>
      <c r="K31" s="58">
        <f>Головна!F$2*5.79425</f>
        <v>170.35094999999998</v>
      </c>
      <c r="L31" s="3"/>
    </row>
    <row r="32" spans="1:12" ht="15">
      <c r="A32" s="508"/>
      <c r="B32" s="508"/>
      <c r="C32" s="211">
        <v>1.47</v>
      </c>
      <c r="D32" s="211">
        <v>50</v>
      </c>
      <c r="E32" s="211">
        <v>1000</v>
      </c>
      <c r="F32" s="211">
        <v>2000</v>
      </c>
      <c r="G32" s="209">
        <f t="shared" si="0"/>
        <v>73.5</v>
      </c>
      <c r="H32" s="210">
        <f t="shared" si="1"/>
        <v>147</v>
      </c>
      <c r="I32" s="150">
        <f t="shared" si="2"/>
        <v>40066.543439999994</v>
      </c>
      <c r="J32" s="150">
        <f t="shared" si="3"/>
        <v>20033.271719999997</v>
      </c>
      <c r="K32" s="58">
        <f>Головна!F$2*9.2708</f>
        <v>272.56152</v>
      </c>
      <c r="L32" s="3"/>
    </row>
    <row r="33" spans="1:12" ht="16.5" customHeight="1">
      <c r="A33" s="491" t="s">
        <v>346</v>
      </c>
      <c r="B33" s="491"/>
      <c r="C33" s="491"/>
      <c r="D33" s="491"/>
      <c r="E33" s="491"/>
      <c r="F33" s="491"/>
      <c r="G33" s="491"/>
      <c r="H33" s="493" t="s">
        <v>269</v>
      </c>
      <c r="I33" s="493"/>
      <c r="J33" s="493"/>
      <c r="K33" s="34" t="s">
        <v>226</v>
      </c>
      <c r="L33" s="3"/>
    </row>
    <row r="34" spans="1:12" ht="15.75" customHeight="1">
      <c r="A34" s="495" t="s">
        <v>121</v>
      </c>
      <c r="B34" s="495" t="s">
        <v>406</v>
      </c>
      <c r="C34" s="144">
        <v>1.39</v>
      </c>
      <c r="D34" s="184">
        <v>1</v>
      </c>
      <c r="E34" s="184">
        <v>1000</v>
      </c>
      <c r="F34" s="184">
        <v>2000</v>
      </c>
      <c r="G34" s="144">
        <f aca="true" t="shared" si="4" ref="G34:G46">D34/1000*C34*1000</f>
        <v>1.39</v>
      </c>
      <c r="H34" s="144">
        <f aca="true" t="shared" si="5" ref="H34:H46">D34/1000*E34/1000*F34/1000*C34*1000</f>
        <v>2.78</v>
      </c>
      <c r="I34" s="144">
        <f aca="true" t="shared" si="6" ref="I34:I46">H34*K34</f>
        <v>539.4312</v>
      </c>
      <c r="J34" s="144">
        <f aca="true" t="shared" si="7" ref="J34:J46">I34/(F34*E34/1000000)</f>
        <v>269.7156</v>
      </c>
      <c r="K34" s="58">
        <f>Головна!F$2*6.6</f>
        <v>194.04</v>
      </c>
      <c r="L34" s="3"/>
    </row>
    <row r="35" spans="1:12" ht="15">
      <c r="A35" s="495"/>
      <c r="B35" s="495"/>
      <c r="C35" s="151">
        <v>1.47</v>
      </c>
      <c r="D35" s="207">
        <v>1.5</v>
      </c>
      <c r="E35" s="208">
        <v>1000</v>
      </c>
      <c r="F35" s="208">
        <v>2000</v>
      </c>
      <c r="G35" s="209">
        <f t="shared" si="4"/>
        <v>2.205</v>
      </c>
      <c r="H35" s="210">
        <f t="shared" si="5"/>
        <v>4.41</v>
      </c>
      <c r="I35" s="150">
        <f t="shared" si="6"/>
        <v>855.7164</v>
      </c>
      <c r="J35" s="150">
        <f t="shared" si="7"/>
        <v>427.8582</v>
      </c>
      <c r="K35" s="58">
        <f>Головна!F$2*6.6</f>
        <v>194.04</v>
      </c>
      <c r="L35" s="3"/>
    </row>
    <row r="36" spans="1:12" ht="15">
      <c r="A36" s="495"/>
      <c r="B36" s="495"/>
      <c r="C36" s="151">
        <v>1.39</v>
      </c>
      <c r="D36" s="152">
        <v>2</v>
      </c>
      <c r="E36" s="152">
        <v>1000</v>
      </c>
      <c r="F36" s="152">
        <v>2000</v>
      </c>
      <c r="G36" s="151">
        <f t="shared" si="4"/>
        <v>2.78</v>
      </c>
      <c r="H36" s="151">
        <f t="shared" si="5"/>
        <v>5.56</v>
      </c>
      <c r="I36" s="150">
        <f t="shared" si="6"/>
        <v>885.9748799999999</v>
      </c>
      <c r="J36" s="150">
        <f t="shared" si="7"/>
        <v>442.98743999999994</v>
      </c>
      <c r="K36" s="58">
        <f>Головна!F$2*5.42</f>
        <v>159.34799999999998</v>
      </c>
      <c r="L36" s="3"/>
    </row>
    <row r="37" spans="1:12" ht="15">
      <c r="A37" s="495"/>
      <c r="B37" s="495"/>
      <c r="C37" s="151">
        <v>1.39</v>
      </c>
      <c r="D37" s="152">
        <v>3</v>
      </c>
      <c r="E37" s="152">
        <v>1000</v>
      </c>
      <c r="F37" s="152">
        <v>2000</v>
      </c>
      <c r="G37" s="151">
        <f t="shared" si="4"/>
        <v>4.17</v>
      </c>
      <c r="H37" s="151">
        <f t="shared" si="5"/>
        <v>8.34</v>
      </c>
      <c r="I37" s="150">
        <f t="shared" si="6"/>
        <v>1328.9623199999999</v>
      </c>
      <c r="J37" s="150">
        <f t="shared" si="7"/>
        <v>664.4811599999999</v>
      </c>
      <c r="K37" s="58">
        <f>Головна!F$2*5.42</f>
        <v>159.34799999999998</v>
      </c>
      <c r="L37" s="3"/>
    </row>
    <row r="38" spans="1:12" ht="15">
      <c r="A38" s="495"/>
      <c r="B38" s="495"/>
      <c r="C38" s="151">
        <v>1.39</v>
      </c>
      <c r="D38" s="152">
        <v>4</v>
      </c>
      <c r="E38" s="152">
        <v>1000</v>
      </c>
      <c r="F38" s="152">
        <v>2000</v>
      </c>
      <c r="G38" s="151">
        <f t="shared" si="4"/>
        <v>5.56</v>
      </c>
      <c r="H38" s="151">
        <f t="shared" si="5"/>
        <v>11.12</v>
      </c>
      <c r="I38" s="214">
        <f t="shared" si="6"/>
        <v>1771.9497599999997</v>
      </c>
      <c r="J38" s="214">
        <f t="shared" si="7"/>
        <v>885.9748799999999</v>
      </c>
      <c r="K38" s="58">
        <f>Головна!F$2*5.42</f>
        <v>159.34799999999998</v>
      </c>
      <c r="L38" s="3"/>
    </row>
    <row r="39" spans="1:12" ht="15">
      <c r="A39" s="495"/>
      <c r="B39" s="495"/>
      <c r="C39" s="151">
        <v>1.39</v>
      </c>
      <c r="D39" s="152">
        <v>4.5</v>
      </c>
      <c r="E39" s="152">
        <v>1000</v>
      </c>
      <c r="F39" s="152">
        <v>2000</v>
      </c>
      <c r="G39" s="151">
        <f t="shared" si="4"/>
        <v>6.254999999999999</v>
      </c>
      <c r="H39" s="151">
        <f t="shared" si="5"/>
        <v>12.509999999999998</v>
      </c>
      <c r="I39" s="150">
        <f t="shared" si="6"/>
        <v>1993.4434799999995</v>
      </c>
      <c r="J39" s="216">
        <f t="shared" si="7"/>
        <v>996.7217399999997</v>
      </c>
      <c r="K39" s="58">
        <f>Головна!F$2*5.42</f>
        <v>159.34799999999998</v>
      </c>
      <c r="L39" s="3"/>
    </row>
    <row r="40" spans="1:12" ht="15">
      <c r="A40" s="495"/>
      <c r="B40" s="495"/>
      <c r="C40" s="151">
        <v>1.39</v>
      </c>
      <c r="D40" s="152">
        <v>5</v>
      </c>
      <c r="E40" s="152">
        <v>1000</v>
      </c>
      <c r="F40" s="152">
        <v>2000</v>
      </c>
      <c r="G40" s="151">
        <f t="shared" si="4"/>
        <v>6.949999999999999</v>
      </c>
      <c r="H40" s="151">
        <f t="shared" si="5"/>
        <v>13.899999999999999</v>
      </c>
      <c r="I40" s="220">
        <f t="shared" si="6"/>
        <v>2214.9371999999994</v>
      </c>
      <c r="J40" s="220">
        <f t="shared" si="7"/>
        <v>1107.4685999999997</v>
      </c>
      <c r="K40" s="58">
        <f>Головна!F2*5.42</f>
        <v>159.34799999999998</v>
      </c>
      <c r="L40" s="3"/>
    </row>
    <row r="41" spans="1:12" ht="15">
      <c r="A41" s="495"/>
      <c r="B41" s="495"/>
      <c r="C41" s="151">
        <v>1.39</v>
      </c>
      <c r="D41" s="152">
        <v>6</v>
      </c>
      <c r="E41" s="152">
        <v>1000</v>
      </c>
      <c r="F41" s="152">
        <v>2000</v>
      </c>
      <c r="G41" s="151">
        <f t="shared" si="4"/>
        <v>8.34</v>
      </c>
      <c r="H41" s="151">
        <f t="shared" si="5"/>
        <v>16.68</v>
      </c>
      <c r="I41" s="220">
        <f t="shared" si="6"/>
        <v>2657.9246399999997</v>
      </c>
      <c r="J41" s="220">
        <f t="shared" si="7"/>
        <v>1328.9623199999999</v>
      </c>
      <c r="K41" s="58">
        <f>Головна!F$2*5.42</f>
        <v>159.34799999999998</v>
      </c>
      <c r="L41" s="3"/>
    </row>
    <row r="42" spans="1:12" ht="15">
      <c r="A42" s="495"/>
      <c r="B42" s="495"/>
      <c r="C42" s="151">
        <v>1.39</v>
      </c>
      <c r="D42" s="152">
        <v>7</v>
      </c>
      <c r="E42" s="152">
        <v>1000</v>
      </c>
      <c r="F42" s="152">
        <v>2000</v>
      </c>
      <c r="G42" s="151">
        <f t="shared" si="4"/>
        <v>9.729999999999999</v>
      </c>
      <c r="H42" s="151">
        <f t="shared" si="5"/>
        <v>19.459999999999997</v>
      </c>
      <c r="I42" s="220">
        <f t="shared" si="6"/>
        <v>3100.912079999999</v>
      </c>
      <c r="J42" s="220">
        <f t="shared" si="7"/>
        <v>1550.4560399999996</v>
      </c>
      <c r="K42" s="58">
        <f>Головна!F$2*5.42</f>
        <v>159.34799999999998</v>
      </c>
      <c r="L42" s="3"/>
    </row>
    <row r="43" spans="1:12" ht="15">
      <c r="A43" s="495"/>
      <c r="B43" s="495"/>
      <c r="C43" s="151">
        <v>1.39</v>
      </c>
      <c r="D43" s="152">
        <v>8</v>
      </c>
      <c r="E43" s="152">
        <v>1000</v>
      </c>
      <c r="F43" s="152">
        <v>2000</v>
      </c>
      <c r="G43" s="151">
        <f t="shared" si="4"/>
        <v>11.12</v>
      </c>
      <c r="H43" s="151">
        <f t="shared" si="5"/>
        <v>22.24</v>
      </c>
      <c r="I43" s="220">
        <f t="shared" si="6"/>
        <v>3543.8995199999995</v>
      </c>
      <c r="J43" s="220">
        <f t="shared" si="7"/>
        <v>1771.9497599999997</v>
      </c>
      <c r="K43" s="58">
        <f>Головна!F$2*5.42</f>
        <v>159.34799999999998</v>
      </c>
      <c r="L43" s="3"/>
    </row>
    <row r="44" spans="1:12" ht="15">
      <c r="A44" s="495"/>
      <c r="B44" s="495"/>
      <c r="C44" s="151">
        <v>1.39</v>
      </c>
      <c r="D44" s="152">
        <v>10</v>
      </c>
      <c r="E44" s="152">
        <v>1000</v>
      </c>
      <c r="F44" s="152">
        <v>2000</v>
      </c>
      <c r="G44" s="151">
        <f t="shared" si="4"/>
        <v>13.899999999999999</v>
      </c>
      <c r="H44" s="151">
        <f t="shared" si="5"/>
        <v>27.799999999999997</v>
      </c>
      <c r="I44" s="220">
        <f t="shared" si="6"/>
        <v>4429.874399999999</v>
      </c>
      <c r="J44" s="220">
        <f t="shared" si="7"/>
        <v>2214.9371999999994</v>
      </c>
      <c r="K44" s="58">
        <f>Головна!F$2*5.42</f>
        <v>159.34799999999998</v>
      </c>
      <c r="L44" s="3"/>
    </row>
    <row r="45" spans="1:12" ht="15">
      <c r="A45" s="495"/>
      <c r="B45" s="495"/>
      <c r="C45" s="151">
        <v>1.39</v>
      </c>
      <c r="D45" s="152">
        <v>12</v>
      </c>
      <c r="E45" s="152">
        <v>1000</v>
      </c>
      <c r="F45" s="152">
        <v>2000</v>
      </c>
      <c r="G45" s="151">
        <f t="shared" si="4"/>
        <v>16.68</v>
      </c>
      <c r="H45" s="151">
        <f t="shared" si="5"/>
        <v>33.36</v>
      </c>
      <c r="I45" s="220">
        <f t="shared" si="6"/>
        <v>7169.53104</v>
      </c>
      <c r="J45" s="220">
        <f t="shared" si="7"/>
        <v>3584.76552</v>
      </c>
      <c r="K45" s="58">
        <f>Головна!F$2*7.31</f>
        <v>214.914</v>
      </c>
      <c r="L45" s="3"/>
    </row>
    <row r="46" spans="1:12" ht="15">
      <c r="A46" s="495"/>
      <c r="B46" s="495"/>
      <c r="C46" s="165">
        <v>1.39</v>
      </c>
      <c r="D46" s="173">
        <v>15</v>
      </c>
      <c r="E46" s="173">
        <v>1000</v>
      </c>
      <c r="F46" s="173">
        <v>2000</v>
      </c>
      <c r="G46" s="165">
        <f t="shared" si="4"/>
        <v>20.849999999999998</v>
      </c>
      <c r="H46" s="165">
        <f t="shared" si="5"/>
        <v>41.699999999999996</v>
      </c>
      <c r="I46" s="220">
        <f t="shared" si="6"/>
        <v>8961.913799999998</v>
      </c>
      <c r="J46" s="220">
        <f t="shared" si="7"/>
        <v>4480.956899999999</v>
      </c>
      <c r="K46" s="58">
        <f>Головна!F$2*7.31</f>
        <v>214.914</v>
      </c>
      <c r="L46" s="3"/>
    </row>
    <row r="47" spans="1:12" ht="15" customHeight="1">
      <c r="A47" s="487" t="s">
        <v>392</v>
      </c>
      <c r="B47" s="487"/>
      <c r="C47" s="487"/>
      <c r="D47" s="487"/>
      <c r="E47" s="487"/>
      <c r="F47" s="487"/>
      <c r="G47" s="487"/>
      <c r="H47" s="487"/>
      <c r="I47" s="487"/>
      <c r="J47" s="487"/>
      <c r="K47" s="58"/>
      <c r="L47" s="3"/>
    </row>
    <row r="48" spans="1:12" ht="12.75" customHeight="1">
      <c r="A48" s="52"/>
      <c r="B48" s="52"/>
      <c r="C48" s="52"/>
      <c r="D48" s="52"/>
      <c r="E48" s="52"/>
      <c r="F48" s="51"/>
      <c r="G48" s="51"/>
      <c r="H48" s="51"/>
      <c r="I48" s="140"/>
      <c r="J48" s="52"/>
      <c r="K48" s="3"/>
      <c r="L48" s="3"/>
    </row>
    <row r="49" spans="1:12" ht="16.5" customHeight="1">
      <c r="A49" s="510" t="s">
        <v>363</v>
      </c>
      <c r="B49" s="510"/>
      <c r="C49" s="510"/>
      <c r="D49" s="510"/>
      <c r="E49" s="510"/>
      <c r="F49" s="510"/>
      <c r="G49" s="510"/>
      <c r="H49" s="397" t="s">
        <v>269</v>
      </c>
      <c r="I49" s="397"/>
      <c r="J49" s="397"/>
      <c r="K49" s="3"/>
      <c r="L49" s="3"/>
    </row>
    <row r="50" spans="1:12" ht="15.75" customHeight="1">
      <c r="A50" s="433" t="s">
        <v>358</v>
      </c>
      <c r="B50" s="433"/>
      <c r="C50" s="433" t="s">
        <v>357</v>
      </c>
      <c r="D50" s="433"/>
      <c r="E50" s="511" t="s">
        <v>407</v>
      </c>
      <c r="F50" s="511"/>
      <c r="G50" s="451" t="s">
        <v>356</v>
      </c>
      <c r="H50" s="451"/>
      <c r="I50" s="451"/>
      <c r="J50" s="451"/>
      <c r="K50" s="3"/>
      <c r="L50" s="3"/>
    </row>
    <row r="51" spans="1:12" ht="15.75" customHeight="1">
      <c r="A51" s="433"/>
      <c r="B51" s="433"/>
      <c r="C51" s="433"/>
      <c r="D51" s="433"/>
      <c r="E51" s="511"/>
      <c r="F51" s="511"/>
      <c r="G51" s="451" t="s">
        <v>297</v>
      </c>
      <c r="H51" s="451"/>
      <c r="I51" s="451" t="s">
        <v>406</v>
      </c>
      <c r="J51" s="451"/>
      <c r="K51" s="3"/>
      <c r="L51" s="3"/>
    </row>
    <row r="52" spans="1:12" ht="16.5" customHeight="1">
      <c r="A52" s="435" t="s">
        <v>91</v>
      </c>
      <c r="B52" s="436"/>
      <c r="C52" s="437" t="s">
        <v>81</v>
      </c>
      <c r="D52" s="437"/>
      <c r="E52" s="509">
        <v>3</v>
      </c>
      <c r="F52" s="509"/>
      <c r="G52" s="513">
        <f>Головна!F$2*47.1</f>
        <v>1384.74</v>
      </c>
      <c r="H52" s="513"/>
      <c r="I52" s="438" t="s">
        <v>342</v>
      </c>
      <c r="J52" s="438"/>
      <c r="K52" s="3"/>
      <c r="L52" s="3"/>
    </row>
    <row r="53" spans="1:12" ht="15.75" customHeight="1">
      <c r="A53" s="435"/>
      <c r="B53" s="436"/>
      <c r="C53" s="442" t="s">
        <v>93</v>
      </c>
      <c r="D53" s="442"/>
      <c r="E53" s="514">
        <v>3</v>
      </c>
      <c r="F53" s="514"/>
      <c r="G53" s="439">
        <f>Головна!F$2*47.1</f>
        <v>1384.74</v>
      </c>
      <c r="H53" s="439"/>
      <c r="I53" s="439" t="s">
        <v>342</v>
      </c>
      <c r="J53" s="439"/>
      <c r="K53" s="34" t="s">
        <v>226</v>
      </c>
      <c r="L53" s="3"/>
    </row>
    <row r="54" spans="1:12" ht="12.75" customHeight="1">
      <c r="A54" s="52"/>
      <c r="B54" s="52"/>
      <c r="C54" s="52"/>
      <c r="D54" s="52"/>
      <c r="E54" s="52"/>
      <c r="F54" s="51"/>
      <c r="G54" s="51"/>
      <c r="H54" s="51"/>
      <c r="I54" s="140"/>
      <c r="J54" s="52"/>
      <c r="K54" s="3"/>
      <c r="L54" s="3"/>
    </row>
    <row r="55" spans="1:10" ht="15" customHeight="1">
      <c r="A55" s="512" t="s">
        <v>408</v>
      </c>
      <c r="B55" s="512"/>
      <c r="C55" s="512"/>
      <c r="D55" s="512"/>
      <c r="E55" s="512"/>
      <c r="F55" s="512"/>
      <c r="G55" s="512"/>
      <c r="H55" s="512"/>
      <c r="I55" s="512"/>
      <c r="J55" s="512"/>
    </row>
    <row r="56" spans="1:10" ht="15">
      <c r="A56" s="512"/>
      <c r="B56" s="512"/>
      <c r="C56" s="512"/>
      <c r="D56" s="512"/>
      <c r="E56" s="512"/>
      <c r="F56" s="512"/>
      <c r="G56" s="512"/>
      <c r="H56" s="512"/>
      <c r="I56" s="512"/>
      <c r="J56" s="512"/>
    </row>
    <row r="57" spans="1:10" ht="15">
      <c r="A57" s="512"/>
      <c r="B57" s="512"/>
      <c r="C57" s="512"/>
      <c r="D57" s="512"/>
      <c r="E57" s="512"/>
      <c r="F57" s="512"/>
      <c r="G57" s="512"/>
      <c r="H57" s="512"/>
      <c r="I57" s="512"/>
      <c r="J57" s="512"/>
    </row>
    <row r="58" spans="1:10" ht="15">
      <c r="A58" s="512"/>
      <c r="B58" s="512"/>
      <c r="C58" s="512"/>
      <c r="D58" s="512"/>
      <c r="E58" s="512"/>
      <c r="F58" s="512"/>
      <c r="G58" s="512"/>
      <c r="H58" s="512"/>
      <c r="I58" s="512"/>
      <c r="J58" s="512"/>
    </row>
    <row r="59" spans="1:10" ht="15">
      <c r="A59" s="512"/>
      <c r="B59" s="512"/>
      <c r="C59" s="512"/>
      <c r="D59" s="512"/>
      <c r="E59" s="512"/>
      <c r="F59" s="512"/>
      <c r="G59" s="512"/>
      <c r="H59" s="512"/>
      <c r="I59" s="512"/>
      <c r="J59" s="512"/>
    </row>
    <row r="60" spans="1:10" ht="15">
      <c r="A60" s="512"/>
      <c r="B60" s="512"/>
      <c r="C60" s="512"/>
      <c r="D60" s="512"/>
      <c r="E60" s="512"/>
      <c r="F60" s="512"/>
      <c r="G60" s="512"/>
      <c r="H60" s="512"/>
      <c r="I60" s="512"/>
      <c r="J60" s="512"/>
    </row>
    <row r="61" spans="1:10" ht="15">
      <c r="A61" s="512"/>
      <c r="B61" s="512"/>
      <c r="C61" s="512"/>
      <c r="D61" s="512"/>
      <c r="E61" s="512"/>
      <c r="F61" s="512"/>
      <c r="G61" s="512"/>
      <c r="H61" s="512"/>
      <c r="I61" s="512"/>
      <c r="J61" s="512"/>
    </row>
    <row r="62" spans="1:10" ht="15">
      <c r="A62" s="512"/>
      <c r="B62" s="512"/>
      <c r="C62" s="512"/>
      <c r="D62" s="512"/>
      <c r="E62" s="512"/>
      <c r="F62" s="512"/>
      <c r="G62" s="512"/>
      <c r="H62" s="512"/>
      <c r="I62" s="512"/>
      <c r="J62" s="512"/>
    </row>
    <row r="63" spans="1:10" ht="15">
      <c r="A63" s="512"/>
      <c r="B63" s="512"/>
      <c r="C63" s="512"/>
      <c r="D63" s="512"/>
      <c r="E63" s="512"/>
      <c r="F63" s="512"/>
      <c r="G63" s="512"/>
      <c r="H63" s="512"/>
      <c r="I63" s="512"/>
      <c r="J63" s="512"/>
    </row>
    <row r="64" spans="1:10" ht="15">
      <c r="A64" s="512"/>
      <c r="B64" s="512"/>
      <c r="C64" s="512"/>
      <c r="D64" s="512"/>
      <c r="E64" s="512"/>
      <c r="F64" s="512"/>
      <c r="G64" s="512"/>
      <c r="H64" s="512"/>
      <c r="I64" s="512"/>
      <c r="J64" s="512"/>
    </row>
    <row r="65" spans="1:10" ht="15">
      <c r="A65" s="512"/>
      <c r="B65" s="512"/>
      <c r="C65" s="512"/>
      <c r="D65" s="512"/>
      <c r="E65" s="512"/>
      <c r="F65" s="512"/>
      <c r="G65" s="512"/>
      <c r="H65" s="512"/>
      <c r="I65" s="512"/>
      <c r="J65" s="512"/>
    </row>
    <row r="66" spans="1:10" ht="15">
      <c r="A66" s="512"/>
      <c r="B66" s="512"/>
      <c r="C66" s="512"/>
      <c r="D66" s="512"/>
      <c r="E66" s="512"/>
      <c r="F66" s="512"/>
      <c r="G66" s="512"/>
      <c r="H66" s="512"/>
      <c r="I66" s="512"/>
      <c r="J66" s="512"/>
    </row>
    <row r="67" spans="1:10" ht="15">
      <c r="A67" s="512"/>
      <c r="B67" s="512"/>
      <c r="C67" s="512"/>
      <c r="D67" s="512"/>
      <c r="E67" s="512"/>
      <c r="F67" s="512"/>
      <c r="G67" s="512"/>
      <c r="H67" s="512"/>
      <c r="I67" s="512"/>
      <c r="J67" s="512"/>
    </row>
    <row r="68" spans="1:10" ht="15">
      <c r="A68" s="512"/>
      <c r="B68" s="512"/>
      <c r="C68" s="512"/>
      <c r="D68" s="512"/>
      <c r="E68" s="512"/>
      <c r="F68" s="512"/>
      <c r="G68" s="512"/>
      <c r="H68" s="512"/>
      <c r="I68" s="512"/>
      <c r="J68" s="512"/>
    </row>
    <row r="69" spans="1:10" ht="15">
      <c r="A69" s="512"/>
      <c r="B69" s="512"/>
      <c r="C69" s="512"/>
      <c r="D69" s="512"/>
      <c r="E69" s="512"/>
      <c r="F69" s="512"/>
      <c r="G69" s="512"/>
      <c r="H69" s="512"/>
      <c r="I69" s="512"/>
      <c r="J69" s="512"/>
    </row>
    <row r="70" spans="1:10" ht="27" customHeight="1">
      <c r="A70" s="512"/>
      <c r="B70" s="512"/>
      <c r="C70" s="512"/>
      <c r="D70" s="512"/>
      <c r="E70" s="512"/>
      <c r="F70" s="512"/>
      <c r="G70" s="512"/>
      <c r="H70" s="512"/>
      <c r="I70" s="512"/>
      <c r="J70" s="512"/>
    </row>
    <row r="71" ht="15">
      <c r="A71" s="11" t="str">
        <f>Головна!A32</f>
        <v>Всі ціни вказані станом на 05.07.2019 р.</v>
      </c>
    </row>
  </sheetData>
  <sheetProtection selectLockedCells="1" selectUnlockedCells="1"/>
  <mergeCells count="36">
    <mergeCell ref="A55:J70"/>
    <mergeCell ref="G52:H52"/>
    <mergeCell ref="I52:J52"/>
    <mergeCell ref="C53:D53"/>
    <mergeCell ref="E53:F53"/>
    <mergeCell ref="G53:H53"/>
    <mergeCell ref="I53:J53"/>
    <mergeCell ref="A52:A53"/>
    <mergeCell ref="B52:B53"/>
    <mergeCell ref="C52:D52"/>
    <mergeCell ref="E52:F52"/>
    <mergeCell ref="A47:J47"/>
    <mergeCell ref="A49:G49"/>
    <mergeCell ref="H49:J49"/>
    <mergeCell ref="A50:B51"/>
    <mergeCell ref="C50:D51"/>
    <mergeCell ref="E50:F51"/>
    <mergeCell ref="G50:J50"/>
    <mergeCell ref="G51:H51"/>
    <mergeCell ref="I51:J51"/>
    <mergeCell ref="A33:G33"/>
    <mergeCell ref="H33:J33"/>
    <mergeCell ref="A34:A46"/>
    <mergeCell ref="B34:B46"/>
    <mergeCell ref="A10:G10"/>
    <mergeCell ref="H10:J10"/>
    <mergeCell ref="A11:A32"/>
    <mergeCell ref="B11:B32"/>
    <mergeCell ref="A1:K3"/>
    <mergeCell ref="A4:J4"/>
    <mergeCell ref="A5:E5"/>
    <mergeCell ref="F5:H8"/>
    <mergeCell ref="I5:I8"/>
    <mergeCell ref="A6:D6"/>
    <mergeCell ref="A7:E7"/>
    <mergeCell ref="A8:E8"/>
  </mergeCells>
  <hyperlinks>
    <hyperlink ref="A8" r:id="rId1" display="http://plastics.ua/industrial/Поливинилхлорид"/>
    <hyperlink ref="H10" r:id="rId2" display="Смотреть на сайте"/>
    <hyperlink ref="H33" r:id="rId3" display="Смотреть на сайте"/>
    <hyperlink ref="K33" location="Главная!A1" display="на главную"/>
    <hyperlink ref="H49" r:id="rId4" display="Смотреть на сайте"/>
    <hyperlink ref="K53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65" r:id="rId6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IV8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16" sqref="O16"/>
    </sheetView>
  </sheetViews>
  <sheetFormatPr defaultColWidth="8.7109375" defaultRowHeight="12.75"/>
  <cols>
    <col min="1" max="1" width="34.28125" style="12" customWidth="1"/>
    <col min="2" max="2" width="18.7109375" style="12" customWidth="1"/>
    <col min="3" max="3" width="14.28125" style="12" customWidth="1"/>
    <col min="4" max="4" width="12.8515625" style="12" customWidth="1"/>
    <col min="5" max="5" width="12.00390625" style="12" customWidth="1"/>
    <col min="6" max="6" width="13.140625" style="12" customWidth="1"/>
    <col min="7" max="7" width="11.00390625" style="12" customWidth="1"/>
    <col min="8" max="8" width="14.8515625" style="12" customWidth="1"/>
    <col min="9" max="16384" width="8.7109375" style="12" customWidth="1"/>
  </cols>
  <sheetData>
    <row r="1" spans="1:11" s="48" customFormat="1" ht="15">
      <c r="A1" s="545"/>
      <c r="B1" s="546"/>
      <c r="C1" s="546"/>
      <c r="D1" s="546"/>
      <c r="E1" s="546"/>
      <c r="F1" s="546"/>
      <c r="G1" s="546"/>
      <c r="H1" s="547"/>
      <c r="I1" s="3"/>
      <c r="J1" s="3"/>
      <c r="K1" s="3"/>
    </row>
    <row r="2" spans="1:11" s="111" customFormat="1" ht="15">
      <c r="A2" s="548"/>
      <c r="B2" s="402"/>
      <c r="C2" s="402"/>
      <c r="D2" s="402"/>
      <c r="E2" s="402"/>
      <c r="F2" s="402"/>
      <c r="G2" s="402"/>
      <c r="H2" s="549"/>
      <c r="I2" s="3"/>
      <c r="J2" s="3"/>
      <c r="K2" s="3"/>
    </row>
    <row r="3" spans="1:11" s="111" customFormat="1" ht="15">
      <c r="A3" s="548"/>
      <c r="B3" s="402"/>
      <c r="C3" s="402"/>
      <c r="D3" s="402"/>
      <c r="E3" s="402"/>
      <c r="F3" s="402"/>
      <c r="G3" s="402"/>
      <c r="H3" s="549"/>
      <c r="I3" s="3"/>
      <c r="J3" s="3"/>
      <c r="K3" s="3"/>
    </row>
    <row r="4" spans="1:11" s="111" customFormat="1" ht="15">
      <c r="A4" s="548"/>
      <c r="B4" s="402"/>
      <c r="C4" s="402"/>
      <c r="D4" s="402"/>
      <c r="E4" s="402"/>
      <c r="F4" s="402"/>
      <c r="G4" s="402"/>
      <c r="H4" s="549"/>
      <c r="I4" s="3"/>
      <c r="J4" s="3"/>
      <c r="K4" s="3"/>
    </row>
    <row r="5" spans="1:11" s="111" customFormat="1" ht="15">
      <c r="A5" s="548"/>
      <c r="B5" s="402"/>
      <c r="C5" s="402"/>
      <c r="D5" s="402"/>
      <c r="E5" s="402"/>
      <c r="F5" s="402"/>
      <c r="G5" s="402"/>
      <c r="H5" s="549"/>
      <c r="I5" s="3"/>
      <c r="J5" s="3"/>
      <c r="K5" s="3"/>
    </row>
    <row r="6" spans="1:11" s="111" customFormat="1" ht="15">
      <c r="A6" s="550"/>
      <c r="B6" s="3"/>
      <c r="C6" s="3"/>
      <c r="D6" s="3"/>
      <c r="E6" s="3"/>
      <c r="F6" s="3"/>
      <c r="G6" s="3"/>
      <c r="H6" s="551"/>
      <c r="I6" s="3"/>
      <c r="J6" s="3"/>
      <c r="K6" s="3"/>
    </row>
    <row r="7" spans="1:11" s="111" customFormat="1" ht="9.75" customHeight="1">
      <c r="A7" s="550"/>
      <c r="B7" s="3"/>
      <c r="C7" s="3"/>
      <c r="D7" s="3"/>
      <c r="E7" s="3"/>
      <c r="F7" s="3"/>
      <c r="G7" s="3"/>
      <c r="H7" s="551"/>
      <c r="I7" s="3"/>
      <c r="J7" s="3"/>
      <c r="K7" s="3"/>
    </row>
    <row r="8" spans="1:10" s="48" customFormat="1" ht="15.75" customHeight="1">
      <c r="A8" s="552" t="s">
        <v>409</v>
      </c>
      <c r="B8" s="454"/>
      <c r="C8" s="454"/>
      <c r="D8" s="454"/>
      <c r="E8" s="454"/>
      <c r="F8" s="454"/>
      <c r="G8" s="454"/>
      <c r="H8" s="553"/>
      <c r="I8" s="69"/>
      <c r="J8" s="69"/>
    </row>
    <row r="9" spans="1:10" s="48" customFormat="1" ht="27.75" customHeight="1" thickBot="1">
      <c r="A9" s="554" t="s">
        <v>122</v>
      </c>
      <c r="B9" s="447"/>
      <c r="C9" s="447"/>
      <c r="D9" s="485"/>
      <c r="E9" s="485"/>
      <c r="F9" s="485"/>
      <c r="G9" s="515"/>
      <c r="H9" s="555"/>
      <c r="I9" s="224"/>
      <c r="J9" s="69"/>
    </row>
    <row r="10" spans="1:10" s="48" customFormat="1" ht="15.75" customHeight="1" thickBot="1">
      <c r="A10" s="556" t="s">
        <v>335</v>
      </c>
      <c r="B10" s="408"/>
      <c r="C10" s="408"/>
      <c r="D10" s="485"/>
      <c r="E10" s="485"/>
      <c r="F10" s="485"/>
      <c r="G10" s="515"/>
      <c r="H10" s="555"/>
      <c r="I10" s="224"/>
      <c r="J10" s="69"/>
    </row>
    <row r="11" spans="1:10" s="48" customFormat="1" ht="15" customHeight="1" thickBot="1">
      <c r="A11" s="557" t="s">
        <v>410</v>
      </c>
      <c r="B11" s="416"/>
      <c r="C11" s="416"/>
      <c r="D11" s="485"/>
      <c r="E11" s="485"/>
      <c r="F11" s="485"/>
      <c r="G11" s="515"/>
      <c r="H11" s="555"/>
      <c r="I11" s="224"/>
      <c r="J11" s="69"/>
    </row>
    <row r="12" spans="1:9" s="48" customFormat="1" ht="12.75" customHeight="1" thickBot="1">
      <c r="A12" s="558" t="s">
        <v>123</v>
      </c>
      <c r="B12" s="559"/>
      <c r="C12" s="559"/>
      <c r="D12" s="560"/>
      <c r="E12" s="560"/>
      <c r="F12" s="560"/>
      <c r="G12" s="560"/>
      <c r="H12" s="561"/>
      <c r="I12" s="224"/>
    </row>
    <row r="13" spans="1:8" ht="12.75" customHeight="1" thickBot="1">
      <c r="A13" s="542" t="s">
        <v>222</v>
      </c>
      <c r="B13" s="228" t="s">
        <v>314</v>
      </c>
      <c r="C13" s="543" t="s">
        <v>124</v>
      </c>
      <c r="D13" s="543" t="s">
        <v>316</v>
      </c>
      <c r="E13" s="543" t="s">
        <v>319</v>
      </c>
      <c r="F13" s="544" t="s">
        <v>321</v>
      </c>
      <c r="G13" s="544"/>
      <c r="H13" s="543" t="s">
        <v>412</v>
      </c>
    </row>
    <row r="14" spans="1:8" ht="19.5" thickBot="1">
      <c r="A14" s="518"/>
      <c r="B14" s="228" t="s">
        <v>125</v>
      </c>
      <c r="C14" s="229" t="s">
        <v>126</v>
      </c>
      <c r="D14" s="229" t="s">
        <v>126</v>
      </c>
      <c r="E14" s="229" t="s">
        <v>127</v>
      </c>
      <c r="F14" s="227" t="s">
        <v>128</v>
      </c>
      <c r="G14" s="225" t="s">
        <v>414</v>
      </c>
      <c r="H14" s="229" t="s">
        <v>411</v>
      </c>
    </row>
    <row r="15" spans="1:8" ht="15.75">
      <c r="A15" s="519" t="s">
        <v>413</v>
      </c>
      <c r="B15" s="520">
        <v>1.21</v>
      </c>
      <c r="C15" s="230">
        <v>200</v>
      </c>
      <c r="D15" s="231">
        <v>1.7</v>
      </c>
      <c r="E15" s="232">
        <v>50</v>
      </c>
      <c r="F15" s="233">
        <f>G15/((C15/1000)*E15)</f>
        <v>2.057</v>
      </c>
      <c r="G15" s="233">
        <f>B15*D15*C15/1000*E15</f>
        <v>20.57</v>
      </c>
      <c r="H15" s="234">
        <f>Головна!F2*90.51</f>
        <v>2660.994</v>
      </c>
    </row>
    <row r="16" spans="1:8" ht="15.75">
      <c r="A16" s="519"/>
      <c r="B16" s="520"/>
      <c r="C16" s="235">
        <v>200</v>
      </c>
      <c r="D16" s="236">
        <v>2</v>
      </c>
      <c r="E16" s="237">
        <v>50</v>
      </c>
      <c r="F16" s="236">
        <v>2.42</v>
      </c>
      <c r="G16" s="233">
        <v>24.2</v>
      </c>
      <c r="H16" s="234">
        <f>Головна!F2*106.48</f>
        <v>3130.512</v>
      </c>
    </row>
    <row r="17" spans="1:8" ht="15.75" customHeight="1">
      <c r="A17" s="519"/>
      <c r="B17" s="520"/>
      <c r="C17" s="153">
        <v>200</v>
      </c>
      <c r="D17" s="153">
        <v>3</v>
      </c>
      <c r="E17" s="153">
        <v>50</v>
      </c>
      <c r="F17" s="153">
        <v>3.63</v>
      </c>
      <c r="G17" s="154">
        <v>36.3</v>
      </c>
      <c r="H17" s="238">
        <f>Головна!F2*159.72</f>
        <v>4695.768</v>
      </c>
    </row>
    <row r="18" spans="1:8" ht="15.75">
      <c r="A18" s="519"/>
      <c r="B18" s="520"/>
      <c r="C18" s="236">
        <v>300</v>
      </c>
      <c r="D18" s="236">
        <v>2</v>
      </c>
      <c r="E18" s="236">
        <v>50</v>
      </c>
      <c r="F18" s="236">
        <v>2.42</v>
      </c>
      <c r="G18" s="233">
        <v>36.3</v>
      </c>
      <c r="H18" s="234">
        <f>Головна!F2*159.72</f>
        <v>4695.768</v>
      </c>
    </row>
    <row r="19" spans="1:8" ht="15.75">
      <c r="A19" s="519"/>
      <c r="B19" s="520"/>
      <c r="C19" s="236">
        <v>300</v>
      </c>
      <c r="D19" s="236">
        <v>3</v>
      </c>
      <c r="E19" s="236">
        <v>50</v>
      </c>
      <c r="F19" s="236">
        <v>3.63</v>
      </c>
      <c r="G19" s="233">
        <v>54.45</v>
      </c>
      <c r="H19" s="234">
        <f>Головна!F2*239.58</f>
        <v>7043.652</v>
      </c>
    </row>
    <row r="20" spans="1:8" ht="15.75" customHeight="1">
      <c r="A20" s="519"/>
      <c r="B20" s="520"/>
      <c r="C20" s="153">
        <v>300</v>
      </c>
      <c r="D20" s="153">
        <v>4</v>
      </c>
      <c r="E20" s="153">
        <v>50</v>
      </c>
      <c r="F20" s="153">
        <v>4.84</v>
      </c>
      <c r="G20" s="154">
        <v>72.6</v>
      </c>
      <c r="H20" s="238">
        <f>Головна!F2*319.44</f>
        <v>9391.536</v>
      </c>
    </row>
    <row r="21" spans="1:8" ht="15.75" customHeight="1">
      <c r="A21" s="519"/>
      <c r="B21" s="520"/>
      <c r="C21" s="153">
        <v>300</v>
      </c>
      <c r="D21" s="153">
        <v>5</v>
      </c>
      <c r="E21" s="153">
        <v>50</v>
      </c>
      <c r="F21" s="153">
        <v>6.05</v>
      </c>
      <c r="G21" s="154">
        <v>90.75</v>
      </c>
      <c r="H21" s="238">
        <f>Головна!F2*399.3</f>
        <v>11739.42</v>
      </c>
    </row>
    <row r="22" spans="1:8" ht="15.75">
      <c r="A22" s="519"/>
      <c r="B22" s="520"/>
      <c r="C22" s="236">
        <v>400</v>
      </c>
      <c r="D22" s="236">
        <v>3</v>
      </c>
      <c r="E22" s="236">
        <v>50</v>
      </c>
      <c r="F22" s="236">
        <v>3.63</v>
      </c>
      <c r="G22" s="233">
        <v>72.6</v>
      </c>
      <c r="H22" s="234">
        <f>Головна!F2*319.44</f>
        <v>9391.536</v>
      </c>
    </row>
    <row r="23" spans="1:8" ht="15.75" customHeight="1">
      <c r="A23" s="519"/>
      <c r="B23" s="520"/>
      <c r="C23" s="157">
        <v>400</v>
      </c>
      <c r="D23" s="157">
        <v>4</v>
      </c>
      <c r="E23" s="157">
        <v>50</v>
      </c>
      <c r="F23" s="157">
        <v>4.84</v>
      </c>
      <c r="G23" s="158">
        <v>96.8</v>
      </c>
      <c r="H23" s="239">
        <f>Головна!F2*425.92</f>
        <v>12522.048</v>
      </c>
    </row>
    <row r="24" spans="1:9" ht="15.75" customHeight="1">
      <c r="A24" s="519"/>
      <c r="B24" s="520"/>
      <c r="C24" s="201">
        <v>400</v>
      </c>
      <c r="D24" s="201">
        <v>5</v>
      </c>
      <c r="E24" s="201">
        <v>50</v>
      </c>
      <c r="F24" s="201">
        <v>6.05</v>
      </c>
      <c r="G24" s="164">
        <v>121</v>
      </c>
      <c r="H24" s="240">
        <f>Головна!F2*532.4</f>
        <v>15652.559999999998</v>
      </c>
      <c r="I24" s="34"/>
    </row>
    <row r="25" spans="1:256" ht="16.5" customHeight="1">
      <c r="A25" s="521" t="s">
        <v>429</v>
      </c>
      <c r="B25" s="520">
        <v>1.21</v>
      </c>
      <c r="C25" s="241">
        <v>200</v>
      </c>
      <c r="D25" s="242">
        <v>2</v>
      </c>
      <c r="E25" s="241">
        <v>50</v>
      </c>
      <c r="F25" s="243">
        <f>G25/(C25/1000*E25)</f>
        <v>2.42</v>
      </c>
      <c r="G25" s="243">
        <v>24.2</v>
      </c>
      <c r="H25" s="244">
        <f>Головна!F2*127.776</f>
        <v>3756.6144</v>
      </c>
      <c r="I25"/>
      <c r="J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521"/>
      <c r="B26" s="520"/>
      <c r="C26" s="241">
        <v>200</v>
      </c>
      <c r="D26" s="242">
        <v>3</v>
      </c>
      <c r="E26" s="241">
        <v>50</v>
      </c>
      <c r="F26" s="243">
        <v>3.63</v>
      </c>
      <c r="G26" s="243">
        <v>36.3</v>
      </c>
      <c r="H26" s="244">
        <f>Головна!F2*191.664</f>
        <v>5634.9216</v>
      </c>
      <c r="I26"/>
      <c r="J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521"/>
      <c r="B27" s="520"/>
      <c r="C27" s="235">
        <v>300</v>
      </c>
      <c r="D27" s="236">
        <v>2</v>
      </c>
      <c r="E27" s="237">
        <v>50</v>
      </c>
      <c r="F27" s="236">
        <v>2.42</v>
      </c>
      <c r="G27" s="233">
        <v>36.3</v>
      </c>
      <c r="H27" s="234">
        <f>Головна!F2*191.664</f>
        <v>5634.9216</v>
      </c>
      <c r="I27"/>
      <c r="J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521"/>
      <c r="B28" s="520"/>
      <c r="C28" s="241">
        <v>300</v>
      </c>
      <c r="D28" s="242">
        <v>3</v>
      </c>
      <c r="E28" s="241">
        <v>50</v>
      </c>
      <c r="F28" s="243">
        <v>3.63</v>
      </c>
      <c r="G28" s="243">
        <v>54.45</v>
      </c>
      <c r="H28" s="244">
        <f>Головна!F2*287.496</f>
        <v>8452.382399999999</v>
      </c>
      <c r="I28"/>
      <c r="J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521"/>
      <c r="B29" s="520"/>
      <c r="C29" s="241">
        <v>300</v>
      </c>
      <c r="D29" s="242">
        <v>4</v>
      </c>
      <c r="E29" s="241">
        <v>50</v>
      </c>
      <c r="F29" s="243">
        <v>4.84</v>
      </c>
      <c r="G29" s="243">
        <v>72.6</v>
      </c>
      <c r="H29" s="244">
        <f>Головна!F2*383.328</f>
        <v>11269.8432</v>
      </c>
      <c r="I29"/>
      <c r="J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521"/>
      <c r="B30" s="520"/>
      <c r="C30" s="241">
        <v>300</v>
      </c>
      <c r="D30" s="242">
        <v>5</v>
      </c>
      <c r="E30" s="241">
        <v>50</v>
      </c>
      <c r="F30" s="243">
        <v>6.05</v>
      </c>
      <c r="G30" s="243">
        <v>90.75</v>
      </c>
      <c r="H30" s="244">
        <f>Головна!F2*479.16</f>
        <v>14087.304</v>
      </c>
      <c r="I30"/>
      <c r="J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521"/>
      <c r="B31" s="520"/>
      <c r="C31" s="241">
        <v>400</v>
      </c>
      <c r="D31" s="242">
        <v>2</v>
      </c>
      <c r="E31" s="241">
        <v>50</v>
      </c>
      <c r="F31" s="243">
        <v>2.42</v>
      </c>
      <c r="G31" s="243">
        <v>48.4</v>
      </c>
      <c r="H31" s="244">
        <f>Головна!F2*255.552</f>
        <v>7513.2288</v>
      </c>
      <c r="I31"/>
      <c r="J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521"/>
      <c r="B32" s="520"/>
      <c r="C32" s="241">
        <v>400</v>
      </c>
      <c r="D32" s="242">
        <v>3</v>
      </c>
      <c r="E32" s="241">
        <v>50</v>
      </c>
      <c r="F32" s="243">
        <v>3.63</v>
      </c>
      <c r="G32" s="243">
        <v>72.6</v>
      </c>
      <c r="H32" s="244">
        <f>Головна!F2*383.328</f>
        <v>11269.8432</v>
      </c>
      <c r="I32"/>
      <c r="J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521"/>
      <c r="B33" s="520"/>
      <c r="C33" s="241">
        <v>400</v>
      </c>
      <c r="D33" s="242">
        <v>4</v>
      </c>
      <c r="E33" s="241">
        <v>50</v>
      </c>
      <c r="F33" s="243">
        <v>4.84</v>
      </c>
      <c r="G33" s="243">
        <v>96.8</v>
      </c>
      <c r="H33" s="244">
        <f>Головна!F2*511.104</f>
        <v>15026.4576</v>
      </c>
      <c r="I33"/>
      <c r="J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customHeight="1">
      <c r="A34" s="521"/>
      <c r="B34" s="520"/>
      <c r="C34" s="245">
        <v>400</v>
      </c>
      <c r="D34" s="246">
        <v>5</v>
      </c>
      <c r="E34" s="245">
        <v>50</v>
      </c>
      <c r="F34" s="247">
        <v>6.05</v>
      </c>
      <c r="G34" s="247">
        <v>121</v>
      </c>
      <c r="H34" s="248">
        <f>Головна!F2*638.88</f>
        <v>18783.072</v>
      </c>
      <c r="I34" s="34"/>
      <c r="J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521" t="s">
        <v>415</v>
      </c>
      <c r="B35" s="520">
        <v>1.21</v>
      </c>
      <c r="C35" s="235">
        <v>200</v>
      </c>
      <c r="D35" s="236">
        <v>2</v>
      </c>
      <c r="E35" s="237">
        <v>50</v>
      </c>
      <c r="F35" s="236">
        <f aca="true" t="shared" si="0" ref="F35:F42">G35/(C35/1000*E35)</f>
        <v>2.79</v>
      </c>
      <c r="G35" s="233">
        <v>27.9</v>
      </c>
      <c r="H35" s="234">
        <f>Головна!F2*145.638</f>
        <v>4281.7572</v>
      </c>
      <c r="I35"/>
      <c r="J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521"/>
      <c r="B36" s="520"/>
      <c r="C36" s="241">
        <v>200</v>
      </c>
      <c r="D36" s="242">
        <v>3</v>
      </c>
      <c r="E36" s="241">
        <v>50</v>
      </c>
      <c r="F36" s="243">
        <f t="shared" si="0"/>
        <v>4.356</v>
      </c>
      <c r="G36" s="243">
        <v>43.56</v>
      </c>
      <c r="H36" s="244">
        <f>Головна!F2*218.43</f>
        <v>6421.842</v>
      </c>
      <c r="I36"/>
      <c r="J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 s="521"/>
      <c r="B37" s="520"/>
      <c r="C37" s="302">
        <v>300</v>
      </c>
      <c r="D37" s="303">
        <v>2</v>
      </c>
      <c r="E37" s="302">
        <v>50</v>
      </c>
      <c r="F37" s="304">
        <f t="shared" si="0"/>
        <v>2.9040000000000004</v>
      </c>
      <c r="G37" s="304">
        <v>43.56</v>
      </c>
      <c r="H37" s="305">
        <f>Головна!F2*218.43</f>
        <v>6421.842</v>
      </c>
      <c r="I37"/>
      <c r="J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521"/>
      <c r="B38" s="520"/>
      <c r="C38" s="235">
        <v>300</v>
      </c>
      <c r="D38" s="236">
        <v>3</v>
      </c>
      <c r="E38" s="237">
        <v>50</v>
      </c>
      <c r="F38" s="236">
        <f t="shared" si="0"/>
        <v>4.34</v>
      </c>
      <c r="G38" s="233">
        <v>65.1</v>
      </c>
      <c r="H38" s="234">
        <f>Головна!F2*252</f>
        <v>7408.799999999999</v>
      </c>
      <c r="I38"/>
      <c r="J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.75" customHeight="1">
      <c r="A39" s="521"/>
      <c r="B39" s="520"/>
      <c r="C39" s="241">
        <v>300</v>
      </c>
      <c r="D39" s="242">
        <v>4</v>
      </c>
      <c r="E39" s="241">
        <v>50</v>
      </c>
      <c r="F39" s="243">
        <f t="shared" si="0"/>
        <v>5.808000000000001</v>
      </c>
      <c r="G39" s="243">
        <v>87.12</v>
      </c>
      <c r="H39" s="244">
        <f>Головна!F2*335.5</f>
        <v>9863.699999999999</v>
      </c>
      <c r="I39"/>
      <c r="J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 customHeight="1">
      <c r="A40" s="521"/>
      <c r="B40" s="520"/>
      <c r="C40" s="241">
        <v>400</v>
      </c>
      <c r="D40" s="242">
        <v>3</v>
      </c>
      <c r="E40" s="241">
        <v>50</v>
      </c>
      <c r="F40" s="243">
        <f t="shared" si="0"/>
        <v>4.356</v>
      </c>
      <c r="G40" s="243">
        <v>87.12</v>
      </c>
      <c r="H40" s="244">
        <f>Головна!F2*335.5</f>
        <v>9863.699999999999</v>
      </c>
      <c r="I40"/>
      <c r="J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521"/>
      <c r="B41" s="520"/>
      <c r="C41" s="302">
        <v>400</v>
      </c>
      <c r="D41" s="303">
        <v>4</v>
      </c>
      <c r="E41" s="302">
        <v>50</v>
      </c>
      <c r="F41" s="304">
        <f t="shared" si="0"/>
        <v>5.808</v>
      </c>
      <c r="G41" s="304">
        <v>116.16</v>
      </c>
      <c r="H41" s="305">
        <f>Головна!F2*447.3</f>
        <v>13150.619999999999</v>
      </c>
      <c r="I41"/>
      <c r="J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521"/>
      <c r="B42" s="520"/>
      <c r="C42" s="245">
        <v>400</v>
      </c>
      <c r="D42" s="246">
        <v>5</v>
      </c>
      <c r="E42" s="245">
        <v>50</v>
      </c>
      <c r="F42" s="247">
        <f t="shared" si="0"/>
        <v>7.26</v>
      </c>
      <c r="G42" s="247">
        <v>145.2</v>
      </c>
      <c r="H42" s="248">
        <f>Головна!F2*757.944</f>
        <v>22283.5536</v>
      </c>
      <c r="I42" s="34"/>
      <c r="J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8" ht="15.75">
      <c r="A43" s="522" t="s">
        <v>416</v>
      </c>
      <c r="B43" s="523">
        <v>1.16</v>
      </c>
      <c r="C43" s="249">
        <v>200</v>
      </c>
      <c r="D43" s="249">
        <v>2</v>
      </c>
      <c r="E43" s="249">
        <v>50</v>
      </c>
      <c r="F43" s="249">
        <v>2.32</v>
      </c>
      <c r="G43" s="250">
        <v>23.2</v>
      </c>
      <c r="H43" s="251">
        <f>Головна!F2*122.496</f>
        <v>3601.3823999999995</v>
      </c>
    </row>
    <row r="44" spans="1:8" ht="15">
      <c r="A44" s="522"/>
      <c r="B44" s="523"/>
      <c r="C44" s="252">
        <v>200</v>
      </c>
      <c r="D44" s="252">
        <v>3</v>
      </c>
      <c r="E44" s="252">
        <v>50</v>
      </c>
      <c r="F44" s="252">
        <v>3.48</v>
      </c>
      <c r="G44" s="253">
        <v>34.8</v>
      </c>
      <c r="H44" s="254">
        <f>Головна!F2*183.744</f>
        <v>5402.0736</v>
      </c>
    </row>
    <row r="45" spans="1:8" ht="15.75">
      <c r="A45" s="522"/>
      <c r="B45" s="523"/>
      <c r="C45" s="236">
        <v>300</v>
      </c>
      <c r="D45" s="236">
        <v>2</v>
      </c>
      <c r="E45" s="236">
        <v>50</v>
      </c>
      <c r="F45" s="236">
        <v>2.32</v>
      </c>
      <c r="G45" s="233">
        <v>34.8</v>
      </c>
      <c r="H45" s="234">
        <f>Головна!F2*183.744</f>
        <v>5402.0736</v>
      </c>
    </row>
    <row r="46" spans="1:8" ht="15.75">
      <c r="A46" s="522"/>
      <c r="B46" s="523"/>
      <c r="C46" s="236">
        <v>300</v>
      </c>
      <c r="D46" s="236">
        <v>3</v>
      </c>
      <c r="E46" s="236">
        <v>50</v>
      </c>
      <c r="F46" s="236">
        <v>3.48</v>
      </c>
      <c r="G46" s="233">
        <v>52.2</v>
      </c>
      <c r="H46" s="234">
        <f>Головна!F2*275.616</f>
        <v>8103.1104</v>
      </c>
    </row>
    <row r="47" spans="1:8" ht="15">
      <c r="A47" s="522"/>
      <c r="B47" s="523"/>
      <c r="C47" s="252">
        <v>300</v>
      </c>
      <c r="D47" s="252">
        <v>4</v>
      </c>
      <c r="E47" s="252">
        <v>50</v>
      </c>
      <c r="F47" s="252">
        <v>4.64</v>
      </c>
      <c r="G47" s="253">
        <v>69.6</v>
      </c>
      <c r="H47" s="254">
        <f>Головна!F2*367.488</f>
        <v>10804.1472</v>
      </c>
    </row>
    <row r="48" spans="1:8" ht="15">
      <c r="A48" s="522"/>
      <c r="B48" s="523"/>
      <c r="C48" s="252">
        <v>300</v>
      </c>
      <c r="D48" s="252">
        <v>5</v>
      </c>
      <c r="E48" s="252">
        <v>50</v>
      </c>
      <c r="F48" s="252">
        <v>5.8</v>
      </c>
      <c r="G48" s="253">
        <v>87</v>
      </c>
      <c r="H48" s="254">
        <f>Головна!F2*459.36</f>
        <v>13505.184</v>
      </c>
    </row>
    <row r="49" spans="1:8" ht="15">
      <c r="A49" s="522"/>
      <c r="B49" s="523"/>
      <c r="C49" s="252">
        <v>400</v>
      </c>
      <c r="D49" s="252">
        <v>2</v>
      </c>
      <c r="E49" s="252">
        <v>50</v>
      </c>
      <c r="F49" s="252">
        <v>2.32</v>
      </c>
      <c r="G49" s="253">
        <v>46.4</v>
      </c>
      <c r="H49" s="254">
        <f>Головна!F2*244.992</f>
        <v>7202.764799999999</v>
      </c>
    </row>
    <row r="50" spans="1:8" ht="15.75">
      <c r="A50" s="522"/>
      <c r="B50" s="523"/>
      <c r="C50" s="236">
        <v>400</v>
      </c>
      <c r="D50" s="236">
        <v>3</v>
      </c>
      <c r="E50" s="236">
        <v>50</v>
      </c>
      <c r="F50" s="236">
        <v>3.48</v>
      </c>
      <c r="G50" s="233">
        <v>69.6</v>
      </c>
      <c r="H50" s="234">
        <f>Головна!F2*367.488</f>
        <v>10804.1472</v>
      </c>
    </row>
    <row r="51" spans="1:8" ht="15">
      <c r="A51" s="522"/>
      <c r="B51" s="523"/>
      <c r="C51" s="252">
        <v>400</v>
      </c>
      <c r="D51" s="252">
        <v>4</v>
      </c>
      <c r="E51" s="252">
        <v>50</v>
      </c>
      <c r="F51" s="252">
        <v>4.64</v>
      </c>
      <c r="G51" s="253">
        <v>92.8</v>
      </c>
      <c r="H51" s="254">
        <f>Головна!F2*489.984</f>
        <v>14405.529599999998</v>
      </c>
    </row>
    <row r="52" spans="1:9" ht="15">
      <c r="A52" s="522"/>
      <c r="B52" s="523"/>
      <c r="C52" s="255">
        <v>400</v>
      </c>
      <c r="D52" s="255">
        <v>5</v>
      </c>
      <c r="E52" s="255">
        <v>50</v>
      </c>
      <c r="F52" s="256">
        <v>5.8</v>
      </c>
      <c r="G52" s="257">
        <v>116</v>
      </c>
      <c r="H52" s="258">
        <f>Головна!F2*612.48</f>
        <v>18006.912</v>
      </c>
      <c r="I52" s="34"/>
    </row>
    <row r="53" spans="1:8" ht="15">
      <c r="A53" s="516" t="s">
        <v>417</v>
      </c>
      <c r="B53" s="517">
        <v>1.21</v>
      </c>
      <c r="C53" s="146">
        <v>1000</v>
      </c>
      <c r="D53" s="146">
        <v>1</v>
      </c>
      <c r="E53" s="146">
        <v>50</v>
      </c>
      <c r="F53" s="146">
        <v>1.21</v>
      </c>
      <c r="G53" s="259">
        <v>60.5</v>
      </c>
      <c r="H53" s="260">
        <f>Головна!F2*508.2</f>
        <v>14941.079999999998</v>
      </c>
    </row>
    <row r="54" spans="1:8" ht="15.75">
      <c r="A54" s="516"/>
      <c r="B54" s="517"/>
      <c r="C54" s="236">
        <v>1000</v>
      </c>
      <c r="D54" s="236">
        <v>2</v>
      </c>
      <c r="E54" s="236">
        <v>20</v>
      </c>
      <c r="F54" s="236">
        <v>2.42</v>
      </c>
      <c r="G54" s="233">
        <v>48.4</v>
      </c>
      <c r="H54" s="234">
        <f>Головна!F2*338.8</f>
        <v>9960.72</v>
      </c>
    </row>
    <row r="55" spans="1:8" ht="15">
      <c r="A55" s="516"/>
      <c r="B55" s="517"/>
      <c r="C55" s="153">
        <v>1000</v>
      </c>
      <c r="D55" s="153">
        <v>3</v>
      </c>
      <c r="E55" s="153">
        <v>20</v>
      </c>
      <c r="F55" s="153">
        <v>3.63</v>
      </c>
      <c r="G55" s="261">
        <v>72.6</v>
      </c>
      <c r="H55" s="238">
        <f>Головна!F2*508.2</f>
        <v>14941.079999999998</v>
      </c>
    </row>
    <row r="56" spans="1:8" ht="15">
      <c r="A56" s="516"/>
      <c r="B56" s="517"/>
      <c r="C56" s="153">
        <v>1000</v>
      </c>
      <c r="D56" s="153">
        <v>4</v>
      </c>
      <c r="E56" s="153">
        <v>20</v>
      </c>
      <c r="F56" s="153">
        <v>4.84</v>
      </c>
      <c r="G56" s="261">
        <v>96.8</v>
      </c>
      <c r="H56" s="238">
        <f>Головна!F2*677.6</f>
        <v>19921.44</v>
      </c>
    </row>
    <row r="57" spans="1:8" ht="15">
      <c r="A57" s="516"/>
      <c r="B57" s="517"/>
      <c r="C57" s="153">
        <v>1000</v>
      </c>
      <c r="D57" s="153">
        <v>5</v>
      </c>
      <c r="E57" s="153">
        <v>20</v>
      </c>
      <c r="F57" s="153">
        <v>6.05</v>
      </c>
      <c r="G57" s="261">
        <v>121</v>
      </c>
      <c r="H57" s="238">
        <f>Головна!F2*847</f>
        <v>24901.8</v>
      </c>
    </row>
    <row r="58" spans="1:8" ht="15">
      <c r="A58" s="516"/>
      <c r="B58" s="517"/>
      <c r="C58" s="153">
        <v>1000</v>
      </c>
      <c r="D58" s="153">
        <v>6</v>
      </c>
      <c r="E58" s="153">
        <v>20</v>
      </c>
      <c r="F58" s="153">
        <v>7.26</v>
      </c>
      <c r="G58" s="261">
        <v>145.2</v>
      </c>
      <c r="H58" s="238">
        <f>Головна!F2*1016.4</f>
        <v>29882.159999999996</v>
      </c>
    </row>
    <row r="59" spans="1:8" ht="15">
      <c r="A59" s="516"/>
      <c r="B59" s="517"/>
      <c r="C59" s="262">
        <v>1000</v>
      </c>
      <c r="D59" s="262">
        <v>7</v>
      </c>
      <c r="E59" s="262">
        <v>20</v>
      </c>
      <c r="F59" s="262">
        <v>8.47</v>
      </c>
      <c r="G59" s="261">
        <v>169.4</v>
      </c>
      <c r="H59" s="263">
        <f>Головна!F2*1185.8</f>
        <v>34862.52</v>
      </c>
    </row>
    <row r="60" spans="1:8" ht="15">
      <c r="A60" s="516"/>
      <c r="B60" s="517"/>
      <c r="C60" s="153">
        <v>1000</v>
      </c>
      <c r="D60" s="153">
        <v>8</v>
      </c>
      <c r="E60" s="153">
        <v>20</v>
      </c>
      <c r="F60" s="153">
        <v>9.68</v>
      </c>
      <c r="G60" s="261">
        <v>193.6</v>
      </c>
      <c r="H60" s="238">
        <f>Головна!F2*1355.2</f>
        <v>39842.88</v>
      </c>
    </row>
    <row r="61" spans="1:8" ht="15">
      <c r="A61" s="516"/>
      <c r="B61" s="517"/>
      <c r="C61" s="153">
        <v>1000</v>
      </c>
      <c r="D61" s="153">
        <v>9</v>
      </c>
      <c r="E61" s="153">
        <v>20</v>
      </c>
      <c r="F61" s="153">
        <v>10.89</v>
      </c>
      <c r="G61" s="261">
        <v>217.8</v>
      </c>
      <c r="H61" s="238">
        <f>Головна!F2*1524.6</f>
        <v>44823.24</v>
      </c>
    </row>
    <row r="62" spans="1:8" ht="15">
      <c r="A62" s="516"/>
      <c r="B62" s="517"/>
      <c r="C62" s="153">
        <v>1000</v>
      </c>
      <c r="D62" s="153">
        <v>10</v>
      </c>
      <c r="E62" s="153">
        <v>20</v>
      </c>
      <c r="F62" s="153">
        <v>12.1</v>
      </c>
      <c r="G62" s="261">
        <v>242</v>
      </c>
      <c r="H62" s="238">
        <f>Головна!F2*1694</f>
        <v>49803.6</v>
      </c>
    </row>
    <row r="63" spans="1:8" ht="15">
      <c r="A63" s="516"/>
      <c r="B63" s="517"/>
      <c r="C63" s="153">
        <v>1000</v>
      </c>
      <c r="D63" s="153">
        <v>11</v>
      </c>
      <c r="E63" s="153">
        <v>20</v>
      </c>
      <c r="F63" s="153">
        <v>13.31</v>
      </c>
      <c r="G63" s="261">
        <v>266.2</v>
      </c>
      <c r="H63" s="238">
        <f>Головна!F2*1863.4</f>
        <v>54783.96</v>
      </c>
    </row>
    <row r="64" spans="1:8" ht="15">
      <c r="A64" s="516"/>
      <c r="B64" s="517"/>
      <c r="C64" s="162">
        <v>1000</v>
      </c>
      <c r="D64" s="162">
        <v>12</v>
      </c>
      <c r="E64" s="162">
        <v>20</v>
      </c>
      <c r="F64" s="201">
        <v>14.52</v>
      </c>
      <c r="G64" s="264">
        <v>290.4</v>
      </c>
      <c r="H64" s="265">
        <f>Головна!F2*2032.8</f>
        <v>59764.31999999999</v>
      </c>
    </row>
    <row r="65" spans="1:9" ht="15.75">
      <c r="A65" s="525" t="s">
        <v>418</v>
      </c>
      <c r="B65" s="525"/>
      <c r="C65" s="525"/>
      <c r="D65" s="525"/>
      <c r="E65" s="525"/>
      <c r="F65" s="525"/>
      <c r="G65" s="525"/>
      <c r="H65" s="525"/>
      <c r="I65" s="34" t="s">
        <v>226</v>
      </c>
    </row>
    <row r="66" spans="1:8" ht="12.75">
      <c r="A66" s="526" t="s">
        <v>419</v>
      </c>
      <c r="B66" s="526"/>
      <c r="C66" s="526"/>
      <c r="D66" s="526"/>
      <c r="E66" s="526"/>
      <c r="F66" s="526"/>
      <c r="G66" s="526"/>
      <c r="H66" s="526"/>
    </row>
    <row r="67" spans="1:8" ht="8.25" customHeight="1">
      <c r="A67" s="266"/>
      <c r="B67" s="266"/>
      <c r="C67" s="266"/>
      <c r="D67" s="266"/>
      <c r="E67" s="266"/>
      <c r="F67" s="266"/>
      <c r="G67" s="266"/>
      <c r="H67" s="266"/>
    </row>
    <row r="68" spans="1:8" ht="16.5" customHeight="1">
      <c r="A68" s="518" t="s">
        <v>420</v>
      </c>
      <c r="B68" s="518"/>
      <c r="C68" s="518"/>
      <c r="D68" s="518"/>
      <c r="E68" s="518"/>
      <c r="F68" s="518"/>
      <c r="G68" s="518"/>
      <c r="H68" s="518"/>
    </row>
    <row r="69" spans="1:8" ht="38.25" customHeight="1">
      <c r="A69" s="226" t="s">
        <v>421</v>
      </c>
      <c r="B69" s="518" t="s">
        <v>422</v>
      </c>
      <c r="C69" s="518"/>
      <c r="D69" s="518"/>
      <c r="E69" s="518"/>
      <c r="F69" s="226" t="s">
        <v>222</v>
      </c>
      <c r="G69" s="226" t="s">
        <v>317</v>
      </c>
      <c r="H69" s="226" t="s">
        <v>423</v>
      </c>
    </row>
    <row r="70" spans="1:8" ht="69.75" customHeight="1">
      <c r="A70" s="267" t="s">
        <v>424</v>
      </c>
      <c r="B70" s="527"/>
      <c r="C70" s="527"/>
      <c r="D70" s="527"/>
      <c r="E70" s="527"/>
      <c r="F70" s="182" t="s">
        <v>167</v>
      </c>
      <c r="G70" s="268">
        <v>1000</v>
      </c>
      <c r="H70" s="269">
        <f>10.5*Головна!F2</f>
        <v>308.7</v>
      </c>
    </row>
    <row r="71" spans="1:8" ht="36.75" customHeight="1">
      <c r="A71" s="528" t="s">
        <v>425</v>
      </c>
      <c r="B71" s="529"/>
      <c r="C71" s="529"/>
      <c r="D71" s="529"/>
      <c r="E71" s="529"/>
      <c r="F71" s="73" t="s">
        <v>167</v>
      </c>
      <c r="G71" s="270">
        <v>200</v>
      </c>
      <c r="H71" s="259">
        <f>1*Головна!F2</f>
        <v>29.4</v>
      </c>
    </row>
    <row r="72" spans="1:9" ht="32.25" customHeight="1">
      <c r="A72" s="528"/>
      <c r="B72" s="529"/>
      <c r="C72" s="529"/>
      <c r="D72" s="529"/>
      <c r="E72" s="529"/>
      <c r="F72" s="66" t="s">
        <v>167</v>
      </c>
      <c r="G72" s="271">
        <v>300</v>
      </c>
      <c r="H72" s="264">
        <f>2.1*Головна!F2</f>
        <v>61.74</v>
      </c>
      <c r="I72" s="34" t="s">
        <v>226</v>
      </c>
    </row>
    <row r="73" spans="1:8" ht="15.75">
      <c r="A73" s="266"/>
      <c r="B73" s="266"/>
      <c r="C73" s="266"/>
      <c r="D73" s="266"/>
      <c r="E73" s="266"/>
      <c r="F73" s="266"/>
      <c r="G73" s="266"/>
      <c r="H73" s="266"/>
    </row>
    <row r="74" spans="1:8" ht="12.75">
      <c r="A74" s="272" t="s">
        <v>529</v>
      </c>
      <c r="B74" s="272"/>
      <c r="C74" s="272"/>
      <c r="D74" s="272"/>
      <c r="E74" s="272"/>
      <c r="F74" s="272"/>
      <c r="G74" s="272"/>
      <c r="H74" s="272"/>
    </row>
    <row r="75" spans="1:8" ht="12.75">
      <c r="A75" s="272" t="s">
        <v>426</v>
      </c>
      <c r="B75" s="272"/>
      <c r="C75" s="272"/>
      <c r="D75" s="272"/>
      <c r="E75" s="272"/>
      <c r="F75" s="272"/>
      <c r="G75" s="272"/>
      <c r="H75" s="272"/>
    </row>
    <row r="76" spans="1:8" ht="12.75">
      <c r="A76" s="272" t="s">
        <v>427</v>
      </c>
      <c r="B76" s="272"/>
      <c r="C76" s="272"/>
      <c r="D76" s="272"/>
      <c r="E76" s="272"/>
      <c r="F76" s="272"/>
      <c r="G76" s="272"/>
      <c r="H76" s="273"/>
    </row>
    <row r="77" spans="1:8" ht="12.75">
      <c r="A77" s="272"/>
      <c r="B77" s="272"/>
      <c r="C77" s="272"/>
      <c r="D77" s="272"/>
      <c r="E77" s="272"/>
      <c r="F77" s="272"/>
      <c r="G77" s="272"/>
      <c r="H77" s="273"/>
    </row>
    <row r="78" spans="1:10" s="48" customFormat="1" ht="12.75" customHeight="1">
      <c r="A78" s="524" t="s">
        <v>428</v>
      </c>
      <c r="B78" s="524"/>
      <c r="C78" s="524"/>
      <c r="D78" s="524"/>
      <c r="E78" s="524"/>
      <c r="F78" s="524"/>
      <c r="G78" s="524"/>
      <c r="H78" s="524"/>
      <c r="I78" s="111"/>
      <c r="J78" s="111"/>
    </row>
    <row r="79" spans="1:10" s="48" customFormat="1" ht="15">
      <c r="A79" s="524"/>
      <c r="B79" s="524"/>
      <c r="C79" s="524"/>
      <c r="D79" s="524"/>
      <c r="E79" s="524"/>
      <c r="F79" s="524"/>
      <c r="G79" s="524"/>
      <c r="H79" s="524"/>
      <c r="I79" s="111"/>
      <c r="J79" s="111"/>
    </row>
    <row r="80" spans="1:10" s="48" customFormat="1" ht="20.25" customHeight="1">
      <c r="A80" s="274"/>
      <c r="B80" s="274"/>
      <c r="C80" s="274"/>
      <c r="D80" s="274"/>
      <c r="E80" s="274"/>
      <c r="F80" s="274"/>
      <c r="G80" s="274"/>
      <c r="H80" s="274"/>
      <c r="J80" s="111"/>
    </row>
    <row r="81" ht="15">
      <c r="A81" s="11" t="str">
        <f>Головна!A32</f>
        <v>Всі ціни вказані станом на 05.07.2019 р.</v>
      </c>
    </row>
  </sheetData>
  <sheetProtection selectLockedCells="1" selectUnlockedCells="1"/>
  <mergeCells count="28">
    <mergeCell ref="A43:A52"/>
    <mergeCell ref="B43:B52"/>
    <mergeCell ref="A78:H79"/>
    <mergeCell ref="A65:H65"/>
    <mergeCell ref="A66:H66"/>
    <mergeCell ref="A68:H68"/>
    <mergeCell ref="B69:E69"/>
    <mergeCell ref="B70:E70"/>
    <mergeCell ref="A71:A72"/>
    <mergeCell ref="B71:E72"/>
    <mergeCell ref="A53:A64"/>
    <mergeCell ref="B53:B64"/>
    <mergeCell ref="A13:A14"/>
    <mergeCell ref="F13:G13"/>
    <mergeCell ref="A15:A24"/>
    <mergeCell ref="B15:B24"/>
    <mergeCell ref="A25:A34"/>
    <mergeCell ref="B25:B34"/>
    <mergeCell ref="A35:A42"/>
    <mergeCell ref="B35:B42"/>
    <mergeCell ref="A8:H8"/>
    <mergeCell ref="A9:C9"/>
    <mergeCell ref="D9:F12"/>
    <mergeCell ref="G9:H12"/>
    <mergeCell ref="A10:C10"/>
    <mergeCell ref="A11:C11"/>
    <mergeCell ref="A12:C12"/>
    <mergeCell ref="A1:H5"/>
  </mergeCells>
  <hyperlinks>
    <hyperlink ref="A12" r:id="rId1" display="http://plastics.ua/industrial/ПВХ-П"/>
    <hyperlink ref="I65" location="Главная!A1" display="на главную"/>
    <hyperlink ref="I72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57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P49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S6" sqref="S6"/>
    </sheetView>
  </sheetViews>
  <sheetFormatPr defaultColWidth="8.7109375" defaultRowHeight="12.75"/>
  <cols>
    <col min="1" max="1" width="16.28125" style="275" customWidth="1"/>
    <col min="2" max="2" width="10.421875" style="275" customWidth="1"/>
    <col min="3" max="3" width="11.57421875" style="275" customWidth="1"/>
    <col min="4" max="4" width="13.8515625" style="275" customWidth="1"/>
    <col min="5" max="7" width="9.28125" style="275" customWidth="1"/>
    <col min="8" max="8" width="10.8515625" style="275" customWidth="1"/>
    <col min="9" max="11" width="9.28125" style="275" customWidth="1"/>
    <col min="12" max="12" width="12.28125" style="275" customWidth="1"/>
    <col min="13" max="13" width="9.421875" style="275" customWidth="1"/>
    <col min="14" max="14" width="10.57421875" style="275" customWidth="1"/>
    <col min="15" max="15" width="11.421875" style="275" customWidth="1"/>
    <col min="16" max="16" width="10.421875" style="275" customWidth="1"/>
    <col min="17" max="16384" width="8.7109375" style="275" customWidth="1"/>
  </cols>
  <sheetData>
    <row r="1" spans="1:16" ht="20.25" customHeight="1">
      <c r="A1" s="534"/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</row>
    <row r="2" spans="1:16" s="276" customFormat="1" ht="29.25" customHeight="1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</row>
    <row r="3" spans="1:16" s="276" customFormat="1" ht="29.25" customHeight="1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</row>
    <row r="4" spans="1:16" s="276" customFormat="1" ht="33" customHeigh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</row>
    <row r="5" spans="1:16" s="276" customFormat="1" ht="20.25" customHeight="1">
      <c r="A5" s="534"/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</row>
    <row r="6" spans="1:16" ht="15.75" customHeight="1">
      <c r="A6" s="414" t="s">
        <v>430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</row>
    <row r="7" spans="1:16" ht="26.25" customHeight="1">
      <c r="A7" s="447" t="s">
        <v>129</v>
      </c>
      <c r="B7" s="447"/>
      <c r="C7" s="447"/>
      <c r="D7" s="447"/>
      <c r="E7" s="447"/>
      <c r="F7" s="447"/>
      <c r="G7" s="447"/>
      <c r="H7" s="447"/>
      <c r="I7" s="277"/>
      <c r="J7" s="277"/>
      <c r="K7" s="277"/>
      <c r="L7" s="277"/>
      <c r="M7" s="277"/>
      <c r="N7" s="277"/>
      <c r="O7" s="277"/>
      <c r="P7" s="278"/>
    </row>
    <row r="8" spans="1:16" ht="15" customHeight="1">
      <c r="A8" s="408" t="s">
        <v>336</v>
      </c>
      <c r="B8" s="408"/>
      <c r="C8" s="408"/>
      <c r="D8" s="408"/>
      <c r="E8" s="408"/>
      <c r="F8" s="408"/>
      <c r="G8" s="408"/>
      <c r="H8" s="408"/>
      <c r="I8" s="277"/>
      <c r="J8" s="277"/>
      <c r="K8" s="277"/>
      <c r="L8" s="277"/>
      <c r="M8" s="277"/>
      <c r="N8" s="277"/>
      <c r="O8" s="277"/>
      <c r="P8" s="278"/>
    </row>
    <row r="9" spans="1:16" ht="12.75" customHeight="1">
      <c r="A9" s="531" t="s">
        <v>221</v>
      </c>
      <c r="B9" s="531"/>
      <c r="C9" s="531"/>
      <c r="D9" s="531"/>
      <c r="E9" s="531"/>
      <c r="F9" s="531"/>
      <c r="G9" s="531"/>
      <c r="H9" s="531"/>
      <c r="I9" s="279"/>
      <c r="J9" s="277"/>
      <c r="K9" s="280"/>
      <c r="L9" s="279"/>
      <c r="M9" s="277"/>
      <c r="N9" s="280"/>
      <c r="O9" s="279"/>
      <c r="P9" s="279"/>
    </row>
    <row r="10" spans="1:16" ht="15.75" customHeight="1">
      <c r="A10" s="417" t="s">
        <v>130</v>
      </c>
      <c r="B10" s="417"/>
      <c r="C10" s="417"/>
      <c r="D10" s="417"/>
      <c r="E10" s="417"/>
      <c r="F10" s="417"/>
      <c r="G10" s="417"/>
      <c r="H10" s="417"/>
      <c r="I10" s="279"/>
      <c r="J10" s="277"/>
      <c r="K10" s="280"/>
      <c r="L10" s="279"/>
      <c r="M10" s="277"/>
      <c r="N10" s="280"/>
      <c r="O10" s="279"/>
      <c r="P10" s="279"/>
    </row>
    <row r="11" spans="1:16" ht="15">
      <c r="A11" s="281" t="s">
        <v>131</v>
      </c>
      <c r="B11" s="281">
        <v>210</v>
      </c>
      <c r="C11" s="281">
        <v>302</v>
      </c>
      <c r="D11" s="281">
        <v>502</v>
      </c>
      <c r="E11" s="281">
        <v>500</v>
      </c>
      <c r="F11" s="281">
        <v>630</v>
      </c>
      <c r="G11" s="281">
        <v>652</v>
      </c>
      <c r="H11" s="281" t="s">
        <v>132</v>
      </c>
      <c r="I11" s="281">
        <v>700</v>
      </c>
      <c r="J11" s="281">
        <v>750</v>
      </c>
      <c r="K11" s="281">
        <v>850</v>
      </c>
      <c r="L11" s="281">
        <v>1000</v>
      </c>
      <c r="M11" s="281">
        <v>1200</v>
      </c>
      <c r="N11" s="282">
        <v>1200</v>
      </c>
      <c r="O11" s="281">
        <v>1400</v>
      </c>
      <c r="P11" s="281">
        <v>1600</v>
      </c>
    </row>
    <row r="12" spans="1:16" ht="30">
      <c r="A12" s="283" t="s">
        <v>312</v>
      </c>
      <c r="B12" s="284" t="s">
        <v>431</v>
      </c>
      <c r="C12" s="283" t="s">
        <v>432</v>
      </c>
      <c r="D12" s="283" t="s">
        <v>433</v>
      </c>
      <c r="E12" s="283" t="s">
        <v>133</v>
      </c>
      <c r="F12" s="283" t="s">
        <v>134</v>
      </c>
      <c r="G12" s="283" t="s">
        <v>134</v>
      </c>
      <c r="H12" s="283" t="s">
        <v>434</v>
      </c>
      <c r="I12" s="283" t="s">
        <v>135</v>
      </c>
      <c r="J12" s="283" t="s">
        <v>435</v>
      </c>
      <c r="K12" s="283" t="s">
        <v>297</v>
      </c>
      <c r="L12" s="283" t="s">
        <v>436</v>
      </c>
      <c r="M12" s="283" t="s">
        <v>136</v>
      </c>
      <c r="N12" s="283" t="s">
        <v>353</v>
      </c>
      <c r="O12" s="283" t="s">
        <v>350</v>
      </c>
      <c r="P12" s="283" t="s">
        <v>297</v>
      </c>
    </row>
    <row r="13" spans="1:16" ht="15" customHeight="1">
      <c r="A13" s="283" t="s">
        <v>224</v>
      </c>
      <c r="B13" s="532" t="s">
        <v>373</v>
      </c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</row>
    <row r="14" spans="1:16" ht="15">
      <c r="A14" s="285" t="s">
        <v>137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>
        <f>Головна!F2*312.1875</f>
        <v>9178.3125</v>
      </c>
    </row>
    <row r="15" spans="1:16" ht="15">
      <c r="A15" s="287" t="s">
        <v>138</v>
      </c>
      <c r="B15" s="288"/>
      <c r="C15" s="288"/>
      <c r="D15" s="288"/>
      <c r="E15" s="288"/>
      <c r="F15" s="288"/>
      <c r="G15" s="288"/>
      <c r="H15" s="288"/>
      <c r="I15" s="288"/>
      <c r="J15" s="288">
        <f>Головна!F2*154.9375</f>
        <v>4555.162499999999</v>
      </c>
      <c r="K15" s="288">
        <f>Головна!F2*212.75</f>
        <v>6254.849999999999</v>
      </c>
      <c r="L15" s="288"/>
      <c r="M15" s="288">
        <f>Головна!F2*289.0625</f>
        <v>8498.4375</v>
      </c>
      <c r="N15" s="288"/>
      <c r="O15" s="288">
        <f>Головна!F2*312.19</f>
        <v>9178.385999999999</v>
      </c>
      <c r="P15" s="288"/>
    </row>
    <row r="16" spans="1:16" ht="15">
      <c r="A16" s="287" t="s">
        <v>139</v>
      </c>
      <c r="B16" s="288"/>
      <c r="C16" s="288">
        <f>Головна!F2*142.265</f>
        <v>4182.590999999999</v>
      </c>
      <c r="D16" s="288">
        <f>Головна!F2*173.4375</f>
        <v>5099.0625</v>
      </c>
      <c r="E16" s="288">
        <f>Головна!F2*176.9525</f>
        <v>5202.403499999999</v>
      </c>
      <c r="F16" s="288">
        <f>Головна!F2*201.1875</f>
        <v>5914.912499999999</v>
      </c>
      <c r="G16" s="288">
        <f>Головна!F2*215.0625</f>
        <v>6322.8375</v>
      </c>
      <c r="H16" s="288">
        <f>Головна!F2*263.625</f>
        <v>7750.575</v>
      </c>
      <c r="I16" s="288">
        <f>Головна!F2*222</f>
        <v>6526.799999999999</v>
      </c>
      <c r="J16" s="288">
        <f>Головна!F2*232.4525</f>
        <v>6834.103499999999</v>
      </c>
      <c r="K16" s="288">
        <f>Головна!F2*319.125</f>
        <v>9382.275</v>
      </c>
      <c r="L16" s="288">
        <f>Головна!F2*334.7575</f>
        <v>9841.870499999999</v>
      </c>
      <c r="M16" s="288"/>
      <c r="N16" s="288">
        <f>Головна!F2*433.64</f>
        <v>12749.016</v>
      </c>
      <c r="O16" s="288">
        <f>Головна!F2*468.3</f>
        <v>13768.02</v>
      </c>
      <c r="P16" s="288">
        <f>Головна!F2*624.375</f>
        <v>18356.625</v>
      </c>
    </row>
    <row r="17" spans="1:16" ht="15">
      <c r="A17" s="287" t="s">
        <v>140</v>
      </c>
      <c r="B17" s="288"/>
      <c r="C17" s="288">
        <f>Головна!F2*189.625</f>
        <v>5574.974999999999</v>
      </c>
      <c r="D17" s="288"/>
      <c r="E17" s="288">
        <f>Головна!F2*235.875</f>
        <v>6934.724999999999</v>
      </c>
      <c r="F17" s="288"/>
      <c r="G17" s="288">
        <f>Головна!F2*286.75</f>
        <v>8430.449999999999</v>
      </c>
      <c r="H17" s="288"/>
      <c r="I17" s="288"/>
      <c r="J17" s="288">
        <f>Головна!F2*309.875</f>
        <v>9110.324999999999</v>
      </c>
      <c r="K17" s="288">
        <f>Головна!F2*425.5</f>
        <v>12509.699999999999</v>
      </c>
      <c r="L17" s="288"/>
      <c r="M17" s="288"/>
      <c r="N17" s="288">
        <f>Головна!F2*578.13</f>
        <v>16997.022</v>
      </c>
      <c r="O17" s="288"/>
      <c r="P17" s="288"/>
    </row>
    <row r="18" spans="1:16" ht="15">
      <c r="A18" s="287" t="s">
        <v>141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>
        <f>Головна!F2*468.3275</f>
        <v>13768.8285</v>
      </c>
    </row>
    <row r="19" spans="1:16" ht="15">
      <c r="A19" s="287" t="s">
        <v>142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>
        <f>Головна!F2*433.64</f>
        <v>12749.016</v>
      </c>
      <c r="N19" s="288"/>
      <c r="O19" s="288">
        <f>Головна!F2*468.3</f>
        <v>13768.02</v>
      </c>
      <c r="P19" s="288"/>
    </row>
    <row r="20" spans="1:16" ht="15" customHeight="1">
      <c r="A20" s="287" t="s">
        <v>143</v>
      </c>
      <c r="B20" s="288"/>
      <c r="C20" s="288"/>
      <c r="D20" s="288">
        <f>Головна!F2*260.2025</f>
        <v>7649.9535</v>
      </c>
      <c r="E20" s="288">
        <f>Головна!F2*265.3825</f>
        <v>7802.245499999999</v>
      </c>
      <c r="F20" s="288">
        <f>Головна!F2*301.8275</f>
        <v>8873.7285</v>
      </c>
      <c r="G20" s="288">
        <f>Головна!F2*322.64</f>
        <v>9485.616</v>
      </c>
      <c r="H20" s="288">
        <f>Головна!F2*395.4375</f>
        <v>11625.8625</v>
      </c>
      <c r="I20" s="288">
        <f>Головна!F2*333</f>
        <v>9790.199999999999</v>
      </c>
      <c r="J20" s="288">
        <f>Головна!F2*348.6325</f>
        <v>10249.7955</v>
      </c>
      <c r="K20" s="288">
        <f>Головна!F2*478.6875</f>
        <v>14073.412499999999</v>
      </c>
      <c r="L20" s="288">
        <f>Головна!F2*502.09</f>
        <v>14761.445999999998</v>
      </c>
      <c r="M20" s="288"/>
      <c r="N20" s="288">
        <f>Головна!F2*650.3675</f>
        <v>19120.8045</v>
      </c>
      <c r="O20" s="288">
        <f>Головна!F2*702.45</f>
        <v>20652.03</v>
      </c>
      <c r="P20" s="288">
        <f>Головна!F2*936.5625</f>
        <v>27534.9375</v>
      </c>
    </row>
    <row r="21" spans="1:16" ht="15">
      <c r="A21" s="287" t="s">
        <v>144</v>
      </c>
      <c r="B21" s="288"/>
      <c r="C21" s="288"/>
      <c r="D21" s="288"/>
      <c r="E21" s="288"/>
      <c r="F21" s="288"/>
      <c r="G21" s="288">
        <f>Головна!F2*430.125</f>
        <v>12645.675</v>
      </c>
      <c r="H21" s="288"/>
      <c r="I21" s="288"/>
      <c r="J21" s="288">
        <f>Головна!F2*464.8125</f>
        <v>13665.4875</v>
      </c>
      <c r="K21" s="288">
        <f>Головна!F2*638.25</f>
        <v>18764.55</v>
      </c>
      <c r="L21" s="288"/>
      <c r="M21" s="288"/>
      <c r="N21" s="288">
        <f>Головна!F2*867.19</f>
        <v>25495.386</v>
      </c>
      <c r="O21" s="288"/>
      <c r="P21" s="288"/>
    </row>
    <row r="22" spans="1:16" ht="15">
      <c r="A22" s="287" t="s">
        <v>145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>
        <f>Головна!F2*624.375</f>
        <v>18356.625</v>
      </c>
    </row>
    <row r="23" spans="1:16" ht="15" customHeight="1">
      <c r="A23" s="287" t="s">
        <v>146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>
        <f>Головна!F2*425.5</f>
        <v>12509.699999999999</v>
      </c>
      <c r="L23" s="288"/>
      <c r="M23" s="288">
        <f>Головна!F2*578.125</f>
        <v>16996.875</v>
      </c>
      <c r="N23" s="288"/>
      <c r="O23" s="288">
        <f>Головна!F2*624.38</f>
        <v>18356.771999999997</v>
      </c>
      <c r="P23" s="288"/>
    </row>
    <row r="24" spans="1:16" ht="15" customHeight="1">
      <c r="A24" s="287" t="s">
        <v>147</v>
      </c>
      <c r="B24" s="288">
        <f>Головна!F2*263.625</f>
        <v>7750.575</v>
      </c>
      <c r="C24" s="288">
        <f>Головна!F2*284.4375</f>
        <v>8362.4625</v>
      </c>
      <c r="D24" s="288">
        <f>Головна!F2*346.875</f>
        <v>10198.125</v>
      </c>
      <c r="E24" s="288">
        <f>Головна!F2*353.8125</f>
        <v>10402.0875</v>
      </c>
      <c r="F24" s="288">
        <f>Головна!F2*402.375</f>
        <v>11829.824999999999</v>
      </c>
      <c r="G24" s="288">
        <f>Головна!F2*430.125</f>
        <v>12645.675</v>
      </c>
      <c r="H24" s="288">
        <f>Головна!F2*527.25</f>
        <v>15501.15</v>
      </c>
      <c r="I24" s="288">
        <f>Головна!F2*444</f>
        <v>13053.599999999999</v>
      </c>
      <c r="J24" s="288">
        <f>Головна!F2*464.8125</f>
        <v>13665.4875</v>
      </c>
      <c r="K24" s="288">
        <f>Головна!F2*638.25</f>
        <v>18764.55</v>
      </c>
      <c r="L24" s="288">
        <f>Головна!F2*669.515</f>
        <v>19683.740999999998</v>
      </c>
      <c r="M24" s="288"/>
      <c r="N24" s="288">
        <f>Головна!F2*867.1875</f>
        <v>25495.3125</v>
      </c>
      <c r="O24" s="288">
        <f>Головна!F2*936.56</f>
        <v>27534.863999999998</v>
      </c>
      <c r="P24" s="288">
        <f>Головна!F2*1248.75</f>
        <v>36713.25</v>
      </c>
    </row>
    <row r="25" spans="1:16" ht="15" customHeight="1">
      <c r="A25" s="287" t="s">
        <v>148</v>
      </c>
      <c r="B25" s="288">
        <f>Головна!F2*351.5</f>
        <v>10334.1</v>
      </c>
      <c r="C25" s="288">
        <f>Головна!F2*379.25</f>
        <v>11149.949999999999</v>
      </c>
      <c r="D25" s="288"/>
      <c r="E25" s="288">
        <f>Головна!F2*471.75</f>
        <v>13869.449999999999</v>
      </c>
      <c r="F25" s="288"/>
      <c r="G25" s="288">
        <f>Головна!F2*573.5</f>
        <v>16860.899999999998</v>
      </c>
      <c r="H25" s="288"/>
      <c r="I25" s="288"/>
      <c r="J25" s="288">
        <f>Головна!F2*619.75</f>
        <v>18220.649999999998</v>
      </c>
      <c r="K25" s="288">
        <f>Головна!F2*851</f>
        <v>25019.399999999998</v>
      </c>
      <c r="L25" s="288"/>
      <c r="M25" s="288"/>
      <c r="N25" s="288">
        <f>Головна!F2*1156.25</f>
        <v>33993.75</v>
      </c>
      <c r="O25" s="288"/>
      <c r="P25" s="288"/>
    </row>
    <row r="26" spans="1:16" ht="15">
      <c r="A26" s="287" t="s">
        <v>149</v>
      </c>
      <c r="B26" s="288">
        <f>Головна!F2*703</f>
        <v>20668.2</v>
      </c>
      <c r="C26" s="288">
        <f>Головна!F2*758.5</f>
        <v>22299.899999999998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</row>
    <row r="27" spans="1:16" ht="15" customHeight="1">
      <c r="A27" s="287" t="s">
        <v>150</v>
      </c>
      <c r="B27" s="288"/>
      <c r="C27" s="288">
        <f>Головна!F2*426.7025</f>
        <v>12545.053499999998</v>
      </c>
      <c r="D27" s="288">
        <f>Головна!F2*520.3125</f>
        <v>15297.1875</v>
      </c>
      <c r="E27" s="288"/>
      <c r="F27" s="288">
        <f>Головна!F2*603.5625</f>
        <v>17744.7375</v>
      </c>
      <c r="G27" s="288">
        <f>Головна!F2*645.1875</f>
        <v>18968.5125</v>
      </c>
      <c r="H27" s="288"/>
      <c r="I27" s="288">
        <f>Головна!F2*666</f>
        <v>19580.399999999998</v>
      </c>
      <c r="J27" s="288">
        <f>Головна!F2*697.265</f>
        <v>20499.591</v>
      </c>
      <c r="K27" s="288"/>
      <c r="L27" s="288"/>
      <c r="M27" s="288"/>
      <c r="N27" s="288"/>
      <c r="O27" s="288"/>
      <c r="P27" s="288"/>
    </row>
    <row r="28" spans="1:16" ht="15" customHeight="1">
      <c r="A28" s="287" t="s">
        <v>151</v>
      </c>
      <c r="B28" s="288">
        <f>Головна!F2*527.25</f>
        <v>15501.15</v>
      </c>
      <c r="C28" s="288">
        <f>Головна!F2*568.875</f>
        <v>16724.925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</row>
    <row r="29" spans="1:16" ht="15" customHeight="1">
      <c r="A29" s="287" t="s">
        <v>152</v>
      </c>
      <c r="B29" s="288">
        <f>Головна!F2*1054.5</f>
        <v>31002.3</v>
      </c>
      <c r="C29" s="288">
        <f>Головна!F2*1137.75</f>
        <v>33449.85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</row>
    <row r="30" spans="1:16" ht="15" customHeight="1">
      <c r="A30" s="287" t="s">
        <v>153</v>
      </c>
      <c r="B30" s="288"/>
      <c r="C30" s="288">
        <f>Головна!F2*568.875</f>
        <v>16724.925</v>
      </c>
      <c r="D30" s="288">
        <f>Головна!F2*693.75</f>
        <v>20396.25</v>
      </c>
      <c r="E30" s="288">
        <f>Головна!F2*707.625</f>
        <v>20804.175</v>
      </c>
      <c r="F30" s="288">
        <f>Головна!F2*804.75</f>
        <v>23659.649999999998</v>
      </c>
      <c r="G30" s="288"/>
      <c r="H30" s="288"/>
      <c r="I30" s="288">
        <f>Головна!F2*888</f>
        <v>26107.199999999997</v>
      </c>
      <c r="J30" s="288"/>
      <c r="K30" s="288"/>
      <c r="L30" s="288"/>
      <c r="M30" s="288"/>
      <c r="N30" s="288"/>
      <c r="O30" s="288"/>
      <c r="P30" s="288"/>
    </row>
    <row r="31" spans="1:16" ht="15" customHeight="1">
      <c r="A31" s="287" t="s">
        <v>154</v>
      </c>
      <c r="B31" s="288">
        <f>Головна!F2*703</f>
        <v>20668.2</v>
      </c>
      <c r="C31" s="288">
        <f>Головна!F2*758.5</f>
        <v>22299.899999999998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</row>
    <row r="32" spans="1:16" ht="15" customHeight="1">
      <c r="A32" s="289" t="s">
        <v>155</v>
      </c>
      <c r="B32" s="290">
        <f>Головна!F2*1406</f>
        <v>41336.4</v>
      </c>
      <c r="C32" s="290">
        <f>Головна!F2*1517</f>
        <v>44599.799999999996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</row>
    <row r="33" spans="1:16" ht="15" customHeight="1">
      <c r="A33" s="533" t="s">
        <v>437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</row>
    <row r="34" spans="1:16" ht="15" customHeight="1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</row>
    <row r="35" spans="1:16" ht="15" customHeight="1">
      <c r="A35" s="530" t="s">
        <v>438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</row>
    <row r="36" spans="1:16" ht="15" customHeight="1">
      <c r="A36" s="530"/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</row>
    <row r="37" spans="1:16" ht="15" customHeight="1">
      <c r="A37" s="530"/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5" customHeight="1">
      <c r="A38" s="530"/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16" ht="15" customHeight="1">
      <c r="A39" s="530"/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</row>
    <row r="40" spans="1:16" ht="14.25">
      <c r="A40" s="530"/>
      <c r="B40" s="530"/>
      <c r="C40" s="530"/>
      <c r="D40" s="530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</row>
    <row r="41" spans="1:16" ht="14.25">
      <c r="A41" s="530"/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</row>
    <row r="42" spans="1:16" ht="14.25">
      <c r="A42" s="530"/>
      <c r="B42" s="530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</row>
    <row r="43" spans="1:16" ht="14.25">
      <c r="A43" s="530"/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</row>
    <row r="44" spans="1:16" ht="16.5" customHeight="1">
      <c r="A44" s="530"/>
      <c r="B44" s="530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</row>
    <row r="45" spans="1:16" ht="15" customHeight="1">
      <c r="A45" s="530"/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</row>
    <row r="46" spans="1:16" ht="14.25">
      <c r="A46" s="530"/>
      <c r="B46" s="530"/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</row>
    <row r="47" spans="1:16" ht="14.25">
      <c r="A47" s="530"/>
      <c r="B47" s="530"/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</row>
    <row r="48" spans="1:16" ht="14.25">
      <c r="A48" s="530"/>
      <c r="B48" s="530"/>
      <c r="C48" s="530"/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</row>
    <row r="49" spans="1:10" ht="15">
      <c r="A49" s="11" t="str">
        <f>Головна!A32</f>
        <v>Всі ціни вказані станом на 05.07.2019 р.</v>
      </c>
      <c r="B49" s="292"/>
      <c r="C49" s="292"/>
      <c r="D49" s="292"/>
      <c r="E49" s="292"/>
      <c r="F49" s="292"/>
      <c r="G49" s="292"/>
      <c r="H49" s="292"/>
      <c r="J49" s="276"/>
    </row>
  </sheetData>
  <sheetProtection selectLockedCells="1" selectUnlockedCells="1"/>
  <mergeCells count="9">
    <mergeCell ref="A35:P48"/>
    <mergeCell ref="A9:H9"/>
    <mergeCell ref="A10:H10"/>
    <mergeCell ref="B13:P13"/>
    <mergeCell ref="A33:P33"/>
    <mergeCell ref="A1:P5"/>
    <mergeCell ref="A6:P6"/>
    <mergeCell ref="A7:H7"/>
    <mergeCell ref="A8:H8"/>
  </mergeCells>
  <hyperlinks>
    <hyperlink ref="A10" r:id="rId1" display="www.plastics.ua/industrial/Модулан"/>
  </hyperlinks>
  <printOptions/>
  <pageMargins left="0.9840277777777777" right="0.39375" top="0.39375" bottom="0.39375" header="0.5118055555555555" footer="0.5118055555555555"/>
  <pageSetup horizontalDpi="300" verticalDpi="300" orientation="portrait" paperSize="9" scale="50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8.7109375" defaultRowHeight="12.75"/>
  <cols>
    <col min="1" max="1" width="14.7109375" style="12" customWidth="1"/>
    <col min="2" max="2" width="30.57421875" style="12" customWidth="1"/>
    <col min="3" max="3" width="31.00390625" style="12" customWidth="1"/>
    <col min="4" max="4" width="25.00390625" style="12" customWidth="1"/>
    <col min="5" max="16384" width="8.7109375" style="12" customWidth="1"/>
  </cols>
  <sheetData>
    <row r="1" spans="1:4" ht="60.75" customHeight="1">
      <c r="A1" s="297"/>
      <c r="B1" s="297"/>
      <c r="C1" s="297"/>
      <c r="D1" s="298"/>
    </row>
    <row r="2" spans="1:4" ht="27.75" customHeight="1">
      <c r="A2" s="538"/>
      <c r="B2" s="538"/>
      <c r="C2" s="538"/>
      <c r="D2" s="538"/>
    </row>
    <row r="3" spans="1:5" ht="12.75" customHeight="1">
      <c r="A3" s="539"/>
      <c r="B3" s="539"/>
      <c r="C3" s="539"/>
      <c r="D3" s="298"/>
      <c r="E3" s="34"/>
    </row>
    <row r="4" spans="1:4" ht="12.75">
      <c r="A4" s="320" t="s">
        <v>439</v>
      </c>
      <c r="B4" s="320" t="s">
        <v>440</v>
      </c>
      <c r="C4" s="321" t="s">
        <v>441</v>
      </c>
      <c r="D4" s="320" t="s">
        <v>156</v>
      </c>
    </row>
    <row r="5" spans="1:6" ht="27" customHeight="1">
      <c r="A5" s="540" t="s">
        <v>442</v>
      </c>
      <c r="B5" s="540" t="s">
        <v>443</v>
      </c>
      <c r="C5" s="322" t="s">
        <v>444</v>
      </c>
      <c r="D5" s="541" t="s">
        <v>445</v>
      </c>
      <c r="E5" s="1"/>
      <c r="F5" s="1"/>
    </row>
    <row r="6" spans="1:6" ht="12.75" customHeight="1">
      <c r="A6" s="540"/>
      <c r="B6" s="540"/>
      <c r="C6" s="322" t="s">
        <v>161</v>
      </c>
      <c r="D6" s="541"/>
      <c r="E6" s="1"/>
      <c r="F6" s="1"/>
    </row>
    <row r="7" spans="1:6" ht="15" customHeight="1">
      <c r="A7" s="323" t="s">
        <v>442</v>
      </c>
      <c r="B7" s="323" t="s">
        <v>446</v>
      </c>
      <c r="C7" s="324" t="s">
        <v>447</v>
      </c>
      <c r="D7" s="319" t="s">
        <v>445</v>
      </c>
      <c r="E7" s="1"/>
      <c r="F7" s="2"/>
    </row>
    <row r="8" spans="1:6" ht="15" customHeight="1">
      <c r="A8" s="323" t="s">
        <v>448</v>
      </c>
      <c r="B8" s="323" t="s">
        <v>449</v>
      </c>
      <c r="C8" s="325" t="s">
        <v>450</v>
      </c>
      <c r="D8" s="319" t="s">
        <v>445</v>
      </c>
      <c r="E8" s="1"/>
      <c r="F8" s="1"/>
    </row>
    <row r="9" spans="1:6" ht="12.75" customHeight="1">
      <c r="A9" s="325" t="s">
        <v>451</v>
      </c>
      <c r="B9" s="326" t="s">
        <v>452</v>
      </c>
      <c r="C9" s="327" t="s">
        <v>453</v>
      </c>
      <c r="D9" s="306" t="s">
        <v>445</v>
      </c>
      <c r="E9" s="1"/>
      <c r="F9" s="1"/>
    </row>
    <row r="10" spans="1:6" ht="12.75" customHeight="1">
      <c r="A10" s="326" t="s">
        <v>162</v>
      </c>
      <c r="B10" s="328" t="s">
        <v>454</v>
      </c>
      <c r="C10" s="329" t="s">
        <v>455</v>
      </c>
      <c r="D10" s="306" t="s">
        <v>445</v>
      </c>
      <c r="E10" s="1"/>
      <c r="F10" s="1"/>
    </row>
    <row r="11" spans="1:6" ht="13.5" customHeight="1">
      <c r="A11" s="325" t="s">
        <v>456</v>
      </c>
      <c r="B11" s="330" t="s">
        <v>457</v>
      </c>
      <c r="C11" s="331" t="s">
        <v>458</v>
      </c>
      <c r="D11" s="306" t="s">
        <v>445</v>
      </c>
      <c r="E11" s="1"/>
      <c r="F11" s="1"/>
    </row>
    <row r="12" spans="1:6" ht="12.75" customHeight="1">
      <c r="A12" s="323" t="s">
        <v>459</v>
      </c>
      <c r="B12" s="323" t="s">
        <v>460</v>
      </c>
      <c r="C12" s="332" t="s">
        <v>461</v>
      </c>
      <c r="D12" s="319" t="s">
        <v>445</v>
      </c>
      <c r="E12" s="1"/>
      <c r="F12" s="1"/>
    </row>
    <row r="13" spans="1:6" ht="13.5" customHeight="1">
      <c r="A13" s="323" t="s">
        <v>462</v>
      </c>
      <c r="B13" s="323" t="s">
        <v>463</v>
      </c>
      <c r="C13" s="323" t="s">
        <v>464</v>
      </c>
      <c r="D13" s="319" t="s">
        <v>445</v>
      </c>
      <c r="E13" s="1"/>
      <c r="F13" s="1"/>
    </row>
    <row r="14" spans="1:6" ht="12.75" customHeight="1">
      <c r="A14" s="323" t="s">
        <v>465</v>
      </c>
      <c r="B14" s="323" t="s">
        <v>466</v>
      </c>
      <c r="C14" s="333" t="s">
        <v>467</v>
      </c>
      <c r="D14" s="319" t="s">
        <v>445</v>
      </c>
      <c r="E14" s="1"/>
      <c r="F14" s="1"/>
    </row>
    <row r="15" spans="1:6" ht="12.75">
      <c r="A15" s="323" t="s">
        <v>468</v>
      </c>
      <c r="B15" s="323" t="s">
        <v>469</v>
      </c>
      <c r="C15" s="332" t="s">
        <v>470</v>
      </c>
      <c r="D15" s="319" t="s">
        <v>445</v>
      </c>
      <c r="E15" s="1"/>
      <c r="F15" s="1"/>
    </row>
    <row r="16" spans="1:6" ht="12.75">
      <c r="A16" s="323" t="s">
        <v>471</v>
      </c>
      <c r="B16" s="323" t="s">
        <v>472</v>
      </c>
      <c r="C16" s="324" t="s">
        <v>473</v>
      </c>
      <c r="D16" s="307" t="s">
        <v>445</v>
      </c>
      <c r="E16" s="1"/>
      <c r="F16" s="1"/>
    </row>
    <row r="17" spans="1:6" ht="12.75">
      <c r="A17" s="323" t="s">
        <v>474</v>
      </c>
      <c r="B17" s="323" t="s">
        <v>475</v>
      </c>
      <c r="C17" s="324" t="s">
        <v>476</v>
      </c>
      <c r="D17" s="319" t="s">
        <v>445</v>
      </c>
      <c r="E17" s="1"/>
      <c r="F17" s="1"/>
    </row>
    <row r="18" spans="1:6" ht="12.75" customHeight="1">
      <c r="A18" s="323" t="s">
        <v>477</v>
      </c>
      <c r="B18" s="323" t="s">
        <v>478</v>
      </c>
      <c r="C18" s="324" t="s">
        <v>479</v>
      </c>
      <c r="D18" s="319" t="s">
        <v>445</v>
      </c>
      <c r="E18" s="1"/>
      <c r="F18" s="1"/>
    </row>
    <row r="19" spans="1:6" ht="12.75">
      <c r="A19" s="323" t="s">
        <v>157</v>
      </c>
      <c r="B19" s="323" t="s">
        <v>480</v>
      </c>
      <c r="C19" s="324" t="s">
        <v>481</v>
      </c>
      <c r="D19" s="319" t="s">
        <v>445</v>
      </c>
      <c r="E19" s="1"/>
      <c r="F19" s="1"/>
    </row>
    <row r="20" spans="1:6" ht="12.75">
      <c r="A20" s="334" t="s">
        <v>482</v>
      </c>
      <c r="B20" s="334" t="s">
        <v>483</v>
      </c>
      <c r="C20" s="333" t="s">
        <v>484</v>
      </c>
      <c r="D20" s="319" t="s">
        <v>445</v>
      </c>
      <c r="E20" s="1"/>
      <c r="F20" s="1"/>
    </row>
    <row r="21" spans="1:6" ht="12.75">
      <c r="A21" s="308" t="s">
        <v>158</v>
      </c>
      <c r="B21" s="308" t="s">
        <v>485</v>
      </c>
      <c r="C21" s="335" t="s">
        <v>486</v>
      </c>
      <c r="D21" s="319" t="s">
        <v>445</v>
      </c>
      <c r="E21" s="1"/>
      <c r="F21" s="1"/>
    </row>
    <row r="22" spans="1:6" ht="12.75">
      <c r="A22" s="336" t="s">
        <v>487</v>
      </c>
      <c r="B22" s="337" t="s">
        <v>488</v>
      </c>
      <c r="C22" s="338" t="s">
        <v>489</v>
      </c>
      <c r="D22" s="309" t="s">
        <v>445</v>
      </c>
      <c r="E22" s="1"/>
      <c r="F22" s="1"/>
    </row>
    <row r="23" spans="1:6" ht="12.75">
      <c r="A23" s="334" t="s">
        <v>159</v>
      </c>
      <c r="B23" s="334" t="s">
        <v>490</v>
      </c>
      <c r="C23" s="339" t="s">
        <v>491</v>
      </c>
      <c r="D23" s="319" t="s">
        <v>445</v>
      </c>
      <c r="E23" s="1"/>
      <c r="F23" s="1"/>
    </row>
    <row r="24" spans="1:6" ht="12.75">
      <c r="A24" s="323" t="s">
        <v>492</v>
      </c>
      <c r="B24" s="323" t="s">
        <v>493</v>
      </c>
      <c r="C24" s="332" t="s">
        <v>494</v>
      </c>
      <c r="D24" s="319" t="s">
        <v>445</v>
      </c>
      <c r="E24" s="1"/>
      <c r="F24" s="1"/>
    </row>
    <row r="25" spans="1:6" ht="12.75">
      <c r="A25" s="325" t="s">
        <v>495</v>
      </c>
      <c r="B25" s="325" t="s">
        <v>496</v>
      </c>
      <c r="C25" s="340" t="s">
        <v>497</v>
      </c>
      <c r="D25" s="310" t="s">
        <v>445</v>
      </c>
      <c r="E25" s="1"/>
      <c r="F25" s="1"/>
    </row>
    <row r="26" spans="1:6" ht="11.25" customHeight="1">
      <c r="A26" s="293" t="s">
        <v>498</v>
      </c>
      <c r="B26" s="293" t="s">
        <v>499</v>
      </c>
      <c r="C26" s="293" t="s">
        <v>500</v>
      </c>
      <c r="D26" s="294" t="s">
        <v>445</v>
      </c>
      <c r="E26" s="1"/>
      <c r="F26" s="1"/>
    </row>
    <row r="27" spans="1:6" ht="12" customHeight="1">
      <c r="A27" s="293" t="s">
        <v>501</v>
      </c>
      <c r="B27" s="293" t="s">
        <v>502</v>
      </c>
      <c r="C27" s="293" t="s">
        <v>503</v>
      </c>
      <c r="D27" s="310" t="s">
        <v>445</v>
      </c>
      <c r="E27" s="1"/>
      <c r="F27" s="1"/>
    </row>
    <row r="28" spans="1:6" ht="12.75" customHeight="1">
      <c r="A28" s="311" t="s">
        <v>504</v>
      </c>
      <c r="B28" s="312" t="s">
        <v>505</v>
      </c>
      <c r="C28" s="312" t="s">
        <v>506</v>
      </c>
      <c r="D28" s="299" t="s">
        <v>445</v>
      </c>
      <c r="E28" s="1"/>
      <c r="F28" s="1"/>
    </row>
    <row r="29" spans="1:6" ht="12.75" customHeight="1">
      <c r="A29" s="535" t="s">
        <v>160</v>
      </c>
      <c r="B29" s="536"/>
      <c r="C29" s="536"/>
      <c r="D29" s="537"/>
      <c r="E29" s="1"/>
      <c r="F29" s="1"/>
    </row>
    <row r="30" spans="1:6" ht="12.75" customHeight="1">
      <c r="A30" s="295" t="s">
        <v>507</v>
      </c>
      <c r="B30" s="295" t="s">
        <v>508</v>
      </c>
      <c r="C30" s="295" t="s">
        <v>163</v>
      </c>
      <c r="D30" s="313" t="s">
        <v>445</v>
      </c>
      <c r="E30" s="1"/>
      <c r="F30" s="1"/>
    </row>
    <row r="31" spans="1:6" ht="14.25" customHeight="1">
      <c r="A31" s="295" t="s">
        <v>509</v>
      </c>
      <c r="B31" s="295" t="s">
        <v>510</v>
      </c>
      <c r="C31" s="295" t="s">
        <v>164</v>
      </c>
      <c r="D31" s="313" t="s">
        <v>445</v>
      </c>
      <c r="E31" s="1"/>
      <c r="F31" s="1"/>
    </row>
    <row r="32" spans="1:6" ht="12.75">
      <c r="A32" s="295" t="s">
        <v>165</v>
      </c>
      <c r="B32" s="295" t="s">
        <v>511</v>
      </c>
      <c r="C32" s="295" t="s">
        <v>166</v>
      </c>
      <c r="D32" s="310" t="s">
        <v>445</v>
      </c>
      <c r="F32" s="1"/>
    </row>
    <row r="33" spans="1:4" ht="12.75">
      <c r="A33" s="535" t="s">
        <v>512</v>
      </c>
      <c r="B33" s="536"/>
      <c r="C33" s="536"/>
      <c r="D33" s="537"/>
    </row>
    <row r="34" spans="1:4" ht="12.75">
      <c r="A34" s="295" t="s">
        <v>513</v>
      </c>
      <c r="B34" s="295" t="s">
        <v>514</v>
      </c>
      <c r="C34" s="295" t="s">
        <v>515</v>
      </c>
      <c r="D34" s="313" t="s">
        <v>445</v>
      </c>
    </row>
    <row r="35" spans="1:4" ht="12.75">
      <c r="A35" s="295" t="s">
        <v>516</v>
      </c>
      <c r="B35" s="295" t="s">
        <v>517</v>
      </c>
      <c r="C35" s="295" t="s">
        <v>518</v>
      </c>
      <c r="D35" s="296"/>
    </row>
    <row r="36" spans="1:4" ht="12.75">
      <c r="A36" s="295" t="s">
        <v>519</v>
      </c>
      <c r="B36" s="295" t="s">
        <v>520</v>
      </c>
      <c r="C36" s="295" t="s">
        <v>521</v>
      </c>
      <c r="D36" s="313"/>
    </row>
    <row r="37" spans="1:4" ht="12.75">
      <c r="A37" s="295"/>
      <c r="B37" s="295"/>
      <c r="C37" s="295"/>
      <c r="D37" s="296"/>
    </row>
    <row r="38" spans="1:4" ht="12.75">
      <c r="A38" s="314"/>
      <c r="B38" s="314"/>
      <c r="C38" s="314"/>
      <c r="D38" s="314"/>
    </row>
    <row r="39" spans="1:4" ht="12.75">
      <c r="A39" s="1"/>
      <c r="B39" s="1"/>
      <c r="C39" s="1"/>
      <c r="D39" s="1"/>
    </row>
  </sheetData>
  <sheetProtection selectLockedCells="1" selectUnlockedCells="1"/>
  <mergeCells count="7">
    <mergeCell ref="A33:D33"/>
    <mergeCell ref="A2:D2"/>
    <mergeCell ref="A3:C3"/>
    <mergeCell ref="A5:A6"/>
    <mergeCell ref="B5:B6"/>
    <mergeCell ref="D5:D6"/>
    <mergeCell ref="A29:D29"/>
  </mergeCells>
  <hyperlinks>
    <hyperlink ref="D5" r:id="rId1" display="Карта проезда"/>
    <hyperlink ref="D7" r:id="rId2" display="Карта проезда"/>
    <hyperlink ref="D8" r:id="rId3" display="Карта проезда"/>
    <hyperlink ref="D9" r:id="rId4" display="Карта проезда"/>
    <hyperlink ref="D12" r:id="rId5" display="Карта проезда"/>
    <hyperlink ref="D13" r:id="rId6" display="Карта проезда"/>
    <hyperlink ref="D15" r:id="rId7" display="Карта проезда"/>
    <hyperlink ref="D19" r:id="rId8" display="Карта проезда"/>
    <hyperlink ref="D18" r:id="rId9" display="Карта проезда"/>
    <hyperlink ref="D20" r:id="rId10" display="Карта проезда"/>
    <hyperlink ref="D22" r:id="rId11" display="Карта проезда"/>
    <hyperlink ref="D23" r:id="rId12" display="Карта проезда"/>
    <hyperlink ref="D24" r:id="rId13" display="Карта проезда"/>
    <hyperlink ref="D25" r:id="rId14" display="Карта проезда"/>
    <hyperlink ref="D5:D6" r:id="rId15" display="Карта проезда"/>
    <hyperlink ref="D14" r:id="rId16" display="Карта проезда"/>
    <hyperlink ref="D21" r:id="rId17" display="Карта проезда"/>
    <hyperlink ref="D26" r:id="rId18" display="Карта проезда"/>
    <hyperlink ref="D30" r:id="rId19" display="http://plastics.md/assets/images/common/maps/Plastics_Adv-Maps-Moldova.png"/>
    <hyperlink ref="D31" r:id="rId20" display="http://plastics.md/assets/images/md/Plastics_Adv-Maps-Beltsy-MD.jpg"/>
    <hyperlink ref="D34" r:id="rId21" display="http://plastics.ge/assets/images/common/maps/Plastics_Adv-Map-GE-2.jpg"/>
    <hyperlink ref="D11" r:id="rId22" display="Карта проезда"/>
    <hyperlink ref="D10" r:id="rId23" display="Карта проезда"/>
    <hyperlink ref="D17" r:id="rId24" display="Карта проезда"/>
    <hyperlink ref="D32" r:id="rId25" display="Карта проезда"/>
    <hyperlink ref="D27" r:id="rId26" display="Карта проезда"/>
    <hyperlink ref="D28" r:id="rId27" display="Карта проезда"/>
  </hyperlinks>
  <printOptions/>
  <pageMargins left="0.7" right="0.7" top="0.75" bottom="0.75" header="0.5118055555555555" footer="0.5118055555555555"/>
  <pageSetup horizontalDpi="300" verticalDpi="300" orientation="portrait" paperSize="9" scale="86" r:id="rId29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145"/>
  <sheetViews>
    <sheetView zoomScale="85" zoomScaleNormal="85" zoomScalePageLayoutView="0" workbookViewId="0" topLeftCell="A1">
      <pane ySplit="2" topLeftCell="A14" activePane="bottomLeft" state="frozen"/>
      <selection pane="topLeft" activeCell="A1" sqref="A1"/>
      <selection pane="bottomLeft" activeCell="C100" sqref="C100"/>
    </sheetView>
  </sheetViews>
  <sheetFormatPr defaultColWidth="8.7109375" defaultRowHeight="12.75"/>
  <cols>
    <col min="1" max="1" width="83.8515625" style="12" customWidth="1"/>
    <col min="2" max="2" width="20.28125" style="12" customWidth="1"/>
    <col min="3" max="3" width="15.57421875" style="13" customWidth="1"/>
    <col min="4" max="4" width="10.8515625" style="12" customWidth="1"/>
    <col min="5" max="16384" width="8.7109375" style="12" customWidth="1"/>
  </cols>
  <sheetData>
    <row r="1" spans="1:3" ht="78" customHeight="1">
      <c r="A1" s="383"/>
      <c r="B1" s="383"/>
      <c r="C1" s="383"/>
    </row>
    <row r="2" spans="1:3" s="14" customFormat="1" ht="25.5" customHeight="1">
      <c r="A2" s="394"/>
      <c r="B2" s="394"/>
      <c r="C2" s="394"/>
    </row>
    <row r="3" spans="1:3" ht="14.25" customHeight="1">
      <c r="A3" s="15"/>
      <c r="B3" s="16"/>
      <c r="C3" s="17"/>
    </row>
    <row r="4" spans="1:3" ht="29.25">
      <c r="A4" s="18" t="s">
        <v>27</v>
      </c>
      <c r="B4" s="395"/>
      <c r="C4" s="396"/>
    </row>
    <row r="5" spans="1:3" ht="12.75">
      <c r="A5" s="19" t="s">
        <v>216</v>
      </c>
      <c r="B5" s="395"/>
      <c r="C5" s="396"/>
    </row>
    <row r="6" spans="1:5" ht="12.75">
      <c r="A6" s="20"/>
      <c r="B6" s="395"/>
      <c r="C6" s="396"/>
      <c r="E6"/>
    </row>
    <row r="7" spans="1:3" ht="12.75" customHeight="1">
      <c r="A7" s="21" t="s">
        <v>227</v>
      </c>
      <c r="B7" s="395"/>
      <c r="C7" s="396"/>
    </row>
    <row r="8" spans="1:3" ht="12.75" customHeight="1">
      <c r="A8" s="7" t="s">
        <v>177</v>
      </c>
      <c r="B8" s="395"/>
      <c r="C8" s="396"/>
    </row>
    <row r="9" spans="1:3" ht="45">
      <c r="A9" s="22" t="s">
        <v>222</v>
      </c>
      <c r="B9" s="22" t="s">
        <v>223</v>
      </c>
      <c r="C9" s="22" t="s">
        <v>225</v>
      </c>
    </row>
    <row r="10" spans="1:3" ht="16.5" customHeight="1">
      <c r="A10" s="23" t="s">
        <v>228</v>
      </c>
      <c r="B10" s="393" t="s">
        <v>269</v>
      </c>
      <c r="C10" s="393"/>
    </row>
    <row r="11" spans="1:5" ht="15">
      <c r="A11" s="24" t="s">
        <v>229</v>
      </c>
      <c r="B11" s="25" t="s">
        <v>28</v>
      </c>
      <c r="C11" s="26">
        <f>Головна!F2*9.15</f>
        <v>269.01</v>
      </c>
      <c r="E11" s="27"/>
    </row>
    <row r="12" spans="1:5" ht="15">
      <c r="A12" s="28" t="s">
        <v>229</v>
      </c>
      <c r="B12" s="29" t="s">
        <v>29</v>
      </c>
      <c r="C12" s="30">
        <f>Головна!F2*9.15</f>
        <v>269.01</v>
      </c>
      <c r="E12" s="27"/>
    </row>
    <row r="13" spans="1:5" ht="15">
      <c r="A13" s="28" t="s">
        <v>229</v>
      </c>
      <c r="B13" s="29" t="s">
        <v>30</v>
      </c>
      <c r="C13" s="30">
        <f>Головна!F2*8.33</f>
        <v>244.902</v>
      </c>
      <c r="E13" s="27"/>
    </row>
    <row r="14" spans="1:5" ht="15">
      <c r="A14" s="28" t="s">
        <v>229</v>
      </c>
      <c r="B14" s="29" t="s">
        <v>31</v>
      </c>
      <c r="C14" s="30">
        <f>Головна!F2*9.84</f>
        <v>289.296</v>
      </c>
      <c r="E14" s="27"/>
    </row>
    <row r="15" spans="1:5" ht="15">
      <c r="A15" s="28" t="s">
        <v>231</v>
      </c>
      <c r="B15" s="29" t="s">
        <v>32</v>
      </c>
      <c r="C15" s="30">
        <f>Головна!F2*12</f>
        <v>352.79999999999995</v>
      </c>
      <c r="E15" s="27"/>
    </row>
    <row r="16" spans="1:5" ht="15">
      <c r="A16" s="28" t="s">
        <v>33</v>
      </c>
      <c r="B16" s="29" t="s">
        <v>34</v>
      </c>
      <c r="C16" s="30">
        <f>Головна!F2*10.39</f>
        <v>305.466</v>
      </c>
      <c r="E16" s="27"/>
    </row>
    <row r="17" spans="1:5" ht="15">
      <c r="A17" s="28" t="s">
        <v>33</v>
      </c>
      <c r="B17" s="29" t="s">
        <v>47</v>
      </c>
      <c r="C17" s="30">
        <f>Головна!F2*8.04</f>
        <v>236.37599999999998</v>
      </c>
      <c r="E17" s="27"/>
    </row>
    <row r="18" spans="1:5" ht="15">
      <c r="A18" s="28" t="s">
        <v>33</v>
      </c>
      <c r="B18" s="29" t="s">
        <v>48</v>
      </c>
      <c r="C18" s="30">
        <f>Головна!F2*8.04</f>
        <v>236.37599999999998</v>
      </c>
      <c r="E18" s="27"/>
    </row>
    <row r="19" spans="1:5" ht="15">
      <c r="A19" s="28" t="s">
        <v>33</v>
      </c>
      <c r="B19" s="29" t="s">
        <v>36</v>
      </c>
      <c r="C19" s="30">
        <f>Головна!F2*8.04</f>
        <v>236.37599999999998</v>
      </c>
      <c r="E19" s="27"/>
    </row>
    <row r="20" spans="1:5" ht="15">
      <c r="A20" s="31" t="s">
        <v>37</v>
      </c>
      <c r="B20" s="32" t="s">
        <v>38</v>
      </c>
      <c r="C20" s="33">
        <f>Головна!F2*10.5</f>
        <v>308.7</v>
      </c>
      <c r="E20" s="27"/>
    </row>
    <row r="21" spans="1:5" ht="15">
      <c r="A21" s="31" t="s">
        <v>37</v>
      </c>
      <c r="B21" s="32" t="s">
        <v>234</v>
      </c>
      <c r="C21" s="33">
        <f>Головна!F2*10.5</f>
        <v>308.7</v>
      </c>
      <c r="D21" s="34" t="s">
        <v>226</v>
      </c>
      <c r="E21" s="27"/>
    </row>
    <row r="22" spans="1:3" ht="16.5" customHeight="1">
      <c r="A22" s="35" t="s">
        <v>233</v>
      </c>
      <c r="B22" s="393" t="s">
        <v>269</v>
      </c>
      <c r="C22" s="393"/>
    </row>
    <row r="23" spans="1:5" ht="15">
      <c r="A23" s="24" t="s">
        <v>230</v>
      </c>
      <c r="B23" s="25" t="s">
        <v>28</v>
      </c>
      <c r="C23" s="26">
        <f>Головна!F2*9.12</f>
        <v>268.128</v>
      </c>
      <c r="E23" s="27"/>
    </row>
    <row r="24" spans="1:5" ht="15">
      <c r="A24" s="28" t="s">
        <v>230</v>
      </c>
      <c r="B24" s="29" t="s">
        <v>39</v>
      </c>
      <c r="C24" s="30">
        <f>Головна!F2*9.123</f>
        <v>268.21619999999996</v>
      </c>
      <c r="E24" s="27"/>
    </row>
    <row r="25" spans="1:5" ht="15">
      <c r="A25" s="28" t="s">
        <v>230</v>
      </c>
      <c r="B25" s="29" t="s">
        <v>40</v>
      </c>
      <c r="C25" s="30">
        <f>Головна!F2*8.34</f>
        <v>245.196</v>
      </c>
      <c r="E25" s="27"/>
    </row>
    <row r="26" spans="1:5" ht="15">
      <c r="A26" s="28" t="s">
        <v>41</v>
      </c>
      <c r="B26" s="29" t="s">
        <v>34</v>
      </c>
      <c r="C26" s="30">
        <f>Головна!F2*10.33</f>
        <v>303.702</v>
      </c>
      <c r="E26" s="27"/>
    </row>
    <row r="27" spans="1:5" ht="15">
      <c r="A27" s="28" t="s">
        <v>41</v>
      </c>
      <c r="B27" s="29" t="s">
        <v>42</v>
      </c>
      <c r="C27" s="30">
        <f>Головна!F2*8.34</f>
        <v>245.196</v>
      </c>
      <c r="E27" s="27"/>
    </row>
    <row r="28" spans="1:5" ht="15">
      <c r="A28" s="31" t="s">
        <v>43</v>
      </c>
      <c r="B28" s="32" t="s">
        <v>38</v>
      </c>
      <c r="C28" s="30">
        <f>Головна!F2*10.3</f>
        <v>302.82</v>
      </c>
      <c r="E28" s="27"/>
    </row>
    <row r="29" spans="1:5" ht="15.75" thickBot="1">
      <c r="A29" s="31" t="s">
        <v>43</v>
      </c>
      <c r="B29" s="32" t="s">
        <v>234</v>
      </c>
      <c r="C29" s="33">
        <f>Головна!F2*10.3</f>
        <v>302.82</v>
      </c>
      <c r="D29" s="34" t="s">
        <v>226</v>
      </c>
      <c r="E29" s="27"/>
    </row>
    <row r="30" spans="1:3" ht="16.5" thickBot="1">
      <c r="A30" s="36" t="s">
        <v>238</v>
      </c>
      <c r="B30" s="393" t="s">
        <v>269</v>
      </c>
      <c r="C30" s="393"/>
    </row>
    <row r="31" spans="1:5" ht="15">
      <c r="A31" s="28" t="s">
        <v>241</v>
      </c>
      <c r="B31" s="29" t="s">
        <v>28</v>
      </c>
      <c r="C31" s="26">
        <f>Головна!F2*14.68</f>
        <v>431.592</v>
      </c>
      <c r="E31" s="27"/>
    </row>
    <row r="32" spans="1:5" ht="15">
      <c r="A32" s="28" t="s">
        <v>241</v>
      </c>
      <c r="B32" s="29" t="s">
        <v>50</v>
      </c>
      <c r="C32" s="30">
        <f>Головна!F2*13.84</f>
        <v>406.89599999999996</v>
      </c>
      <c r="E32" s="27"/>
    </row>
    <row r="33" spans="1:5" ht="15">
      <c r="A33" s="28" t="s">
        <v>241</v>
      </c>
      <c r="B33" s="29" t="s">
        <v>51</v>
      </c>
      <c r="C33" s="33">
        <f>Головна!F2*13</f>
        <v>382.2</v>
      </c>
      <c r="E33" s="27"/>
    </row>
    <row r="34" spans="1:5" ht="15">
      <c r="A34" s="28" t="s">
        <v>241</v>
      </c>
      <c r="B34" s="32" t="s">
        <v>38</v>
      </c>
      <c r="C34" s="30">
        <f>Головна!F2*16.8</f>
        <v>493.92</v>
      </c>
      <c r="E34" s="27"/>
    </row>
    <row r="35" spans="1:5" ht="15">
      <c r="A35" s="28" t="s">
        <v>241</v>
      </c>
      <c r="B35" s="32" t="s">
        <v>234</v>
      </c>
      <c r="C35" s="30">
        <f>Головна!F2*13.95</f>
        <v>410.12999999999994</v>
      </c>
      <c r="E35" s="27"/>
    </row>
    <row r="36" spans="1:5" ht="15">
      <c r="A36" s="28" t="s">
        <v>242</v>
      </c>
      <c r="B36" s="29" t="s">
        <v>42</v>
      </c>
      <c r="C36" s="30">
        <f>Головна!F2*13.47</f>
        <v>396.018</v>
      </c>
      <c r="E36" s="27"/>
    </row>
    <row r="37" spans="1:5" ht="15">
      <c r="A37" s="28" t="s">
        <v>243</v>
      </c>
      <c r="B37" s="29" t="s">
        <v>34</v>
      </c>
      <c r="C37" s="30">
        <f>Головна!F2*14.7</f>
        <v>432.17999999999995</v>
      </c>
      <c r="D37" s="34" t="s">
        <v>226</v>
      </c>
      <c r="E37" s="27"/>
    </row>
    <row r="38" spans="1:3" ht="15.75">
      <c r="A38" s="36" t="s">
        <v>251</v>
      </c>
      <c r="B38" s="393" t="s">
        <v>269</v>
      </c>
      <c r="C38" s="393"/>
    </row>
    <row r="39" spans="1:5" ht="15">
      <c r="A39" s="28" t="s">
        <v>253</v>
      </c>
      <c r="B39" s="29" t="s">
        <v>52</v>
      </c>
      <c r="C39" s="33" t="s">
        <v>250</v>
      </c>
      <c r="E39" s="27"/>
    </row>
    <row r="40" spans="1:5" ht="15">
      <c r="A40" s="28" t="s">
        <v>254</v>
      </c>
      <c r="B40" s="29" t="s">
        <v>53</v>
      </c>
      <c r="C40" s="33" t="s">
        <v>250</v>
      </c>
      <c r="E40" s="27"/>
    </row>
    <row r="41" spans="1:5" ht="15">
      <c r="A41" s="28" t="s">
        <v>255</v>
      </c>
      <c r="B41" s="29" t="s">
        <v>54</v>
      </c>
      <c r="C41" s="33" t="s">
        <v>250</v>
      </c>
      <c r="D41" s="34" t="s">
        <v>226</v>
      </c>
      <c r="E41" s="27"/>
    </row>
    <row r="42" spans="1:3" ht="15.75">
      <c r="A42" s="36" t="s">
        <v>270</v>
      </c>
      <c r="B42" s="393" t="s">
        <v>269</v>
      </c>
      <c r="C42" s="393"/>
    </row>
    <row r="43" spans="1:5" ht="15">
      <c r="A43" s="28" t="s">
        <v>256</v>
      </c>
      <c r="B43" s="29" t="s">
        <v>52</v>
      </c>
      <c r="C43" s="33" t="s">
        <v>250</v>
      </c>
      <c r="E43" s="27"/>
    </row>
    <row r="44" spans="1:5" ht="15">
      <c r="A44" s="28" t="s">
        <v>257</v>
      </c>
      <c r="B44" s="29" t="s">
        <v>42</v>
      </c>
      <c r="C44" s="33" t="s">
        <v>250</v>
      </c>
      <c r="D44" s="34" t="s">
        <v>226</v>
      </c>
      <c r="E44" s="27"/>
    </row>
    <row r="45" spans="1:3" ht="15.75">
      <c r="A45" s="36" t="s">
        <v>290</v>
      </c>
      <c r="B45" s="393" t="s">
        <v>269</v>
      </c>
      <c r="C45" s="393"/>
    </row>
    <row r="46" spans="1:5" ht="15">
      <c r="A46" s="28" t="s">
        <v>527</v>
      </c>
      <c r="B46" s="29" t="s">
        <v>52</v>
      </c>
      <c r="C46" s="33" t="s">
        <v>250</v>
      </c>
      <c r="E46" s="27"/>
    </row>
    <row r="47" spans="1:5" ht="15">
      <c r="A47" s="28" t="s">
        <v>528</v>
      </c>
      <c r="B47" s="29" t="s">
        <v>53</v>
      </c>
      <c r="C47" s="33" t="s">
        <v>250</v>
      </c>
      <c r="D47" s="34" t="s">
        <v>226</v>
      </c>
      <c r="E47" s="27"/>
    </row>
    <row r="48" spans="1:3" ht="15.75">
      <c r="A48" s="36" t="s">
        <v>271</v>
      </c>
      <c r="B48" s="393" t="s">
        <v>269</v>
      </c>
      <c r="C48" s="393"/>
    </row>
    <row r="49" spans="1:5" ht="15">
      <c r="A49" s="28" t="s">
        <v>244</v>
      </c>
      <c r="B49" s="29" t="s">
        <v>44</v>
      </c>
      <c r="C49" s="30">
        <f>Головна!F2*8.69</f>
        <v>255.48599999999996</v>
      </c>
      <c r="E49" s="27"/>
    </row>
    <row r="50" spans="1:5" ht="15">
      <c r="A50" s="28" t="s">
        <v>244</v>
      </c>
      <c r="B50" s="29" t="s">
        <v>45</v>
      </c>
      <c r="C50" s="30">
        <f>Головна!F2*7.5</f>
        <v>220.5</v>
      </c>
      <c r="E50" s="27"/>
    </row>
    <row r="51" spans="1:5" ht="15">
      <c r="A51" s="28" t="s">
        <v>244</v>
      </c>
      <c r="B51" s="29" t="s">
        <v>55</v>
      </c>
      <c r="C51" s="30">
        <f>Головна!F2*7.5</f>
        <v>220.5</v>
      </c>
      <c r="E51" s="27"/>
    </row>
    <row r="52" spans="1:5" ht="15">
      <c r="A52" s="28" t="s">
        <v>244</v>
      </c>
      <c r="B52" s="29" t="s">
        <v>56</v>
      </c>
      <c r="C52" s="30">
        <f>Головна!F2*7.88</f>
        <v>231.672</v>
      </c>
      <c r="E52" s="27"/>
    </row>
    <row r="53" spans="1:5" ht="15">
      <c r="A53" s="28" t="s">
        <v>244</v>
      </c>
      <c r="B53" s="29" t="s">
        <v>57</v>
      </c>
      <c r="C53" s="30">
        <f>Головна!F2*14.4</f>
        <v>423.36</v>
      </c>
      <c r="E53" s="27"/>
    </row>
    <row r="54" spans="1:5" ht="15">
      <c r="A54" s="28" t="s">
        <v>244</v>
      </c>
      <c r="B54" s="29" t="s">
        <v>58</v>
      </c>
      <c r="C54" s="33">
        <f>Головна!F2*14.4</f>
        <v>423.36</v>
      </c>
      <c r="E54" s="27"/>
    </row>
    <row r="55" spans="1:5" ht="15">
      <c r="A55" s="28" t="s">
        <v>245</v>
      </c>
      <c r="B55" s="29" t="s">
        <v>59</v>
      </c>
      <c r="C55" s="30">
        <f>Головна!F2*12.87</f>
        <v>378.378</v>
      </c>
      <c r="E55" s="27"/>
    </row>
    <row r="56" spans="1:5" ht="15">
      <c r="A56" s="28" t="s">
        <v>246</v>
      </c>
      <c r="B56" s="29" t="s">
        <v>34</v>
      </c>
      <c r="C56" s="30">
        <f>Головна!F2*12.6</f>
        <v>370.44</v>
      </c>
      <c r="E56" s="27"/>
    </row>
    <row r="57" spans="1:5" ht="15">
      <c r="A57" s="28" t="s">
        <v>246</v>
      </c>
      <c r="B57" s="29" t="s">
        <v>42</v>
      </c>
      <c r="C57" s="30">
        <f>Головна!F2*7.88</f>
        <v>231.672</v>
      </c>
      <c r="E57" s="27"/>
    </row>
    <row r="58" spans="1:5" ht="15">
      <c r="A58" s="28" t="s">
        <v>247</v>
      </c>
      <c r="B58" s="29" t="s">
        <v>60</v>
      </c>
      <c r="C58" s="30">
        <f>Головна!F2*8.31</f>
        <v>244.314</v>
      </c>
      <c r="E58" s="27"/>
    </row>
    <row r="59" spans="1:5" ht="15">
      <c r="A59" s="28" t="s">
        <v>248</v>
      </c>
      <c r="B59" s="29" t="s">
        <v>61</v>
      </c>
      <c r="C59" s="30">
        <f>Головна!F2*10.12</f>
        <v>297.52799999999996</v>
      </c>
      <c r="E59" s="27"/>
    </row>
    <row r="60" spans="1:5" ht="15">
      <c r="A60" s="28" t="s">
        <v>248</v>
      </c>
      <c r="B60" s="29" t="s">
        <v>235</v>
      </c>
      <c r="C60" s="37">
        <f>Головна!F2*17.57</f>
        <v>516.558</v>
      </c>
      <c r="D60" s="34" t="s">
        <v>226</v>
      </c>
      <c r="E60" s="27"/>
    </row>
    <row r="61" spans="1:3" ht="15.75">
      <c r="A61" s="36" t="s">
        <v>272</v>
      </c>
      <c r="B61" s="393" t="s">
        <v>269</v>
      </c>
      <c r="C61" s="393"/>
    </row>
    <row r="62" spans="1:5" ht="15">
      <c r="A62" s="28" t="s">
        <v>258</v>
      </c>
      <c r="B62" s="29" t="s">
        <v>28</v>
      </c>
      <c r="C62" s="30">
        <f>Головна!F2*9</f>
        <v>264.59999999999997</v>
      </c>
      <c r="E62" s="27"/>
    </row>
    <row r="63" spans="1:5" ht="15">
      <c r="A63" s="28" t="s">
        <v>258</v>
      </c>
      <c r="B63" s="29" t="s">
        <v>62</v>
      </c>
      <c r="C63" s="30">
        <f>Головна!F2*7.8</f>
        <v>229.32</v>
      </c>
      <c r="E63" s="27"/>
    </row>
    <row r="64" spans="1:5" ht="15">
      <c r="A64" s="28" t="s">
        <v>258</v>
      </c>
      <c r="B64" s="29" t="s">
        <v>56</v>
      </c>
      <c r="C64" s="30">
        <f>Головна!F2*8.15</f>
        <v>239.60999999999999</v>
      </c>
      <c r="E64" s="27"/>
    </row>
    <row r="65" spans="1:5" ht="15">
      <c r="A65" s="28" t="s">
        <v>258</v>
      </c>
      <c r="B65" s="29" t="s">
        <v>57</v>
      </c>
      <c r="C65" s="30">
        <f>Головна!F2*10.040625</f>
        <v>295.194375</v>
      </c>
      <c r="E65" s="27"/>
    </row>
    <row r="66" spans="1:5" ht="15">
      <c r="A66" s="28" t="s">
        <v>258</v>
      </c>
      <c r="B66" s="29" t="s">
        <v>58</v>
      </c>
      <c r="C66" s="33" t="s">
        <v>250</v>
      </c>
      <c r="E66" s="27"/>
    </row>
    <row r="67" spans="1:5" ht="15">
      <c r="A67" s="28" t="s">
        <v>259</v>
      </c>
      <c r="B67" s="29" t="s">
        <v>59</v>
      </c>
      <c r="C67" s="30">
        <f>Головна!F2*12.01</f>
        <v>353.094</v>
      </c>
      <c r="E67" s="27"/>
    </row>
    <row r="68" spans="1:5" ht="15">
      <c r="A68" s="28" t="s">
        <v>260</v>
      </c>
      <c r="B68" s="29" t="s">
        <v>34</v>
      </c>
      <c r="C68" s="30">
        <f>Головна!F2*9.61</f>
        <v>282.534</v>
      </c>
      <c r="E68" s="27"/>
    </row>
    <row r="69" spans="1:5" ht="15">
      <c r="A69" s="28" t="s">
        <v>260</v>
      </c>
      <c r="B69" s="29" t="s">
        <v>42</v>
      </c>
      <c r="C69" s="30">
        <f>Головна!F2*7.8</f>
        <v>229.32</v>
      </c>
      <c r="E69" s="27"/>
    </row>
    <row r="70" spans="1:5" ht="15">
      <c r="A70" s="28" t="s">
        <v>261</v>
      </c>
      <c r="B70" s="29" t="s">
        <v>60</v>
      </c>
      <c r="C70" s="30">
        <f>Головна!F2*8.45</f>
        <v>248.42999999999998</v>
      </c>
      <c r="E70" s="27"/>
    </row>
    <row r="71" spans="1:5" ht="15">
      <c r="A71" s="28" t="s">
        <v>262</v>
      </c>
      <c r="B71" s="29" t="s">
        <v>61</v>
      </c>
      <c r="C71" s="30">
        <f>Головна!F2*9.71</f>
        <v>285.474</v>
      </c>
      <c r="E71" s="27"/>
    </row>
    <row r="72" spans="1:5" ht="15.75" thickBot="1">
      <c r="A72" s="28" t="s">
        <v>262</v>
      </c>
      <c r="B72" s="29" t="s">
        <v>235</v>
      </c>
      <c r="C72" s="30">
        <f>Головна!F2*9.85</f>
        <v>289.59</v>
      </c>
      <c r="D72" s="34" t="s">
        <v>226</v>
      </c>
      <c r="E72" s="27"/>
    </row>
    <row r="73" spans="1:3" ht="16.5" thickBot="1">
      <c r="A73" s="36" t="s">
        <v>273</v>
      </c>
      <c r="B73" s="393" t="s">
        <v>269</v>
      </c>
      <c r="C73" s="393"/>
    </row>
    <row r="74" spans="1:5" ht="15">
      <c r="A74" s="28" t="s">
        <v>236</v>
      </c>
      <c r="B74" s="29" t="s">
        <v>63</v>
      </c>
      <c r="C74" s="33" t="s">
        <v>250</v>
      </c>
      <c r="E74" s="27"/>
    </row>
    <row r="75" spans="1:5" ht="15">
      <c r="A75" s="28" t="s">
        <v>237</v>
      </c>
      <c r="B75" s="29" t="s">
        <v>64</v>
      </c>
      <c r="C75" s="33" t="s">
        <v>250</v>
      </c>
      <c r="D75" s="34" t="s">
        <v>226</v>
      </c>
      <c r="E75" s="27"/>
    </row>
    <row r="76" spans="1:3" ht="15.75">
      <c r="A76" s="38" t="s">
        <v>275</v>
      </c>
      <c r="B76" s="397" t="s">
        <v>269</v>
      </c>
      <c r="C76" s="397"/>
    </row>
    <row r="77" spans="1:5" ht="15">
      <c r="A77" s="28" t="s">
        <v>523</v>
      </c>
      <c r="B77" s="29" t="s">
        <v>63</v>
      </c>
      <c r="C77" s="33" t="s">
        <v>250</v>
      </c>
      <c r="E77" s="27"/>
    </row>
    <row r="78" spans="1:5" ht="15">
      <c r="A78" s="28" t="s">
        <v>524</v>
      </c>
      <c r="B78" s="29" t="s">
        <v>53</v>
      </c>
      <c r="C78" s="33" t="s">
        <v>250</v>
      </c>
      <c r="D78" s="34" t="s">
        <v>226</v>
      </c>
      <c r="E78" s="27"/>
    </row>
    <row r="79" spans="1:3" ht="15.75">
      <c r="A79" s="36" t="s">
        <v>276</v>
      </c>
      <c r="B79" s="397" t="s">
        <v>269</v>
      </c>
      <c r="C79" s="397"/>
    </row>
    <row r="80" spans="1:5" ht="15">
      <c r="A80" s="28" t="s">
        <v>277</v>
      </c>
      <c r="B80" s="29" t="s">
        <v>44</v>
      </c>
      <c r="C80" s="30">
        <f>Головна!F2*11.5</f>
        <v>338.09999999999997</v>
      </c>
      <c r="E80" s="27"/>
    </row>
    <row r="81" spans="1:5" ht="15">
      <c r="A81" s="28" t="s">
        <v>277</v>
      </c>
      <c r="B81" s="29" t="s">
        <v>45</v>
      </c>
      <c r="C81" s="30">
        <f>Головна!F2*10.8</f>
        <v>317.52</v>
      </c>
      <c r="E81" s="27"/>
    </row>
    <row r="82" spans="1:5" ht="15">
      <c r="A82" s="28" t="s">
        <v>277</v>
      </c>
      <c r="B82" s="29" t="s">
        <v>46</v>
      </c>
      <c r="C82" s="30">
        <f>Головна!F2*10.1</f>
        <v>296.94</v>
      </c>
      <c r="E82" s="27"/>
    </row>
    <row r="83" spans="1:5" ht="15">
      <c r="A83" s="28" t="s">
        <v>277</v>
      </c>
      <c r="B83" s="29" t="s">
        <v>40</v>
      </c>
      <c r="C83" s="30">
        <f>Головна!F2*11.15</f>
        <v>327.81</v>
      </c>
      <c r="E83" s="27"/>
    </row>
    <row r="84" spans="1:5" ht="15">
      <c r="A84" s="28" t="s">
        <v>278</v>
      </c>
      <c r="B84" s="29" t="s">
        <v>47</v>
      </c>
      <c r="C84" s="30">
        <f>Головна!F2*11.5</f>
        <v>338.09999999999997</v>
      </c>
      <c r="E84" s="27"/>
    </row>
    <row r="85" spans="1:5" ht="15">
      <c r="A85" s="28" t="s">
        <v>279</v>
      </c>
      <c r="B85" s="29" t="s">
        <v>48</v>
      </c>
      <c r="C85" s="30">
        <f>Головна!F2*10.96</f>
        <v>322.224</v>
      </c>
      <c r="E85" s="27"/>
    </row>
    <row r="86" spans="1:5" ht="15">
      <c r="A86" s="28" t="s">
        <v>279</v>
      </c>
      <c r="B86" s="29" t="s">
        <v>65</v>
      </c>
      <c r="C86" s="30">
        <f>Головна!F2*11.5</f>
        <v>338.09999999999997</v>
      </c>
      <c r="D86" s="34" t="s">
        <v>226</v>
      </c>
      <c r="E86" s="27"/>
    </row>
    <row r="87" spans="1:3" ht="15.75">
      <c r="A87" s="36" t="s">
        <v>274</v>
      </c>
      <c r="B87" s="397" t="s">
        <v>269</v>
      </c>
      <c r="C87" s="397"/>
    </row>
    <row r="88" spans="1:5" ht="15">
      <c r="A88" s="28" t="s">
        <v>263</v>
      </c>
      <c r="B88" s="29" t="s">
        <v>44</v>
      </c>
      <c r="C88" s="30">
        <f>Головна!F2*11.46</f>
        <v>336.92400000000004</v>
      </c>
      <c r="E88" s="27"/>
    </row>
    <row r="89" spans="1:5" ht="15">
      <c r="A89" s="28" t="s">
        <v>263</v>
      </c>
      <c r="B89" s="29" t="s">
        <v>45</v>
      </c>
      <c r="C89" s="30">
        <f>Головна!F2*11.15</f>
        <v>327.81</v>
      </c>
      <c r="E89" s="27"/>
    </row>
    <row r="90" spans="1:5" ht="15">
      <c r="A90" s="28" t="s">
        <v>263</v>
      </c>
      <c r="B90" s="29" t="s">
        <v>46</v>
      </c>
      <c r="C90" s="30">
        <f>Головна!F2*10.43</f>
        <v>306.642</v>
      </c>
      <c r="E90" s="27"/>
    </row>
    <row r="91" spans="1:5" ht="15">
      <c r="A91" s="28" t="s">
        <v>263</v>
      </c>
      <c r="B91" s="29" t="s">
        <v>40</v>
      </c>
      <c r="C91" s="30">
        <f>Головна!F2*11.5</f>
        <v>338.09999999999997</v>
      </c>
      <c r="E91" s="27"/>
    </row>
    <row r="92" spans="1:5" ht="15">
      <c r="A92" s="28" t="s">
        <v>264</v>
      </c>
      <c r="B92" s="29" t="s">
        <v>47</v>
      </c>
      <c r="C92" s="30">
        <f>Головна!F2*11.86</f>
        <v>348.68399999999997</v>
      </c>
      <c r="E92" s="27"/>
    </row>
    <row r="93" spans="1:5" ht="15">
      <c r="A93" s="28" t="s">
        <v>265</v>
      </c>
      <c r="B93" s="29" t="s">
        <v>48</v>
      </c>
      <c r="C93" s="30">
        <f>Головна!F2*11.33</f>
        <v>333.102</v>
      </c>
      <c r="E93" s="27"/>
    </row>
    <row r="94" spans="1:5" ht="15">
      <c r="A94" s="28" t="s">
        <v>265</v>
      </c>
      <c r="B94" s="29" t="s">
        <v>65</v>
      </c>
      <c r="C94" s="30">
        <f>Головна!F2*11.86</f>
        <v>348.68399999999997</v>
      </c>
      <c r="D94" s="34" t="s">
        <v>226</v>
      </c>
      <c r="E94" s="27"/>
    </row>
    <row r="95" spans="1:3" ht="15.75">
      <c r="A95" s="36" t="s">
        <v>284</v>
      </c>
      <c r="B95" s="397" t="s">
        <v>269</v>
      </c>
      <c r="C95" s="397"/>
    </row>
    <row r="96" spans="1:5" ht="15">
      <c r="A96" s="28" t="s">
        <v>280</v>
      </c>
      <c r="B96" s="29" t="s">
        <v>52</v>
      </c>
      <c r="C96" s="30">
        <f>Головна!F2*10.8</f>
        <v>317.52</v>
      </c>
      <c r="E96" s="27"/>
    </row>
    <row r="97" spans="1:5" ht="15">
      <c r="A97" s="28" t="s">
        <v>280</v>
      </c>
      <c r="B97" s="29" t="s">
        <v>66</v>
      </c>
      <c r="C97" s="30">
        <f>Головна!F2*10.6</f>
        <v>311.64</v>
      </c>
      <c r="E97" s="27"/>
    </row>
    <row r="98" spans="1:5" ht="15">
      <c r="A98" s="28" t="s">
        <v>281</v>
      </c>
      <c r="B98" s="29" t="s">
        <v>53</v>
      </c>
      <c r="C98" s="30">
        <f>Головна!F2*10.7</f>
        <v>314.58</v>
      </c>
      <c r="E98" s="27"/>
    </row>
    <row r="99" spans="1:5" ht="15">
      <c r="A99" s="28" t="s">
        <v>281</v>
      </c>
      <c r="B99" s="29" t="s">
        <v>49</v>
      </c>
      <c r="C99" s="30">
        <f>Головна!F2*11.7</f>
        <v>343.97999999999996</v>
      </c>
      <c r="E99" s="27"/>
    </row>
    <row r="100" spans="1:5" ht="15.75" thickBot="1">
      <c r="A100" s="28" t="s">
        <v>282</v>
      </c>
      <c r="B100" s="29" t="s">
        <v>67</v>
      </c>
      <c r="C100" s="30" t="s">
        <v>250</v>
      </c>
      <c r="D100" s="34" t="s">
        <v>226</v>
      </c>
      <c r="E100" s="27"/>
    </row>
    <row r="101" spans="1:3" ht="15.75">
      <c r="A101" s="36" t="s">
        <v>285</v>
      </c>
      <c r="B101" s="397" t="s">
        <v>269</v>
      </c>
      <c r="C101" s="397"/>
    </row>
    <row r="102" spans="1:5" ht="15">
      <c r="A102" s="28" t="s">
        <v>266</v>
      </c>
      <c r="B102" s="29" t="s">
        <v>28</v>
      </c>
      <c r="C102" s="30">
        <f>Головна!F2*10.58</f>
        <v>311.05199999999996</v>
      </c>
      <c r="E102" s="27"/>
    </row>
    <row r="103" spans="1:5" ht="15">
      <c r="A103" s="28" t="s">
        <v>266</v>
      </c>
      <c r="B103" s="29" t="s">
        <v>68</v>
      </c>
      <c r="C103" s="30">
        <f>Головна!F2*9.9</f>
        <v>291.06</v>
      </c>
      <c r="E103" s="27"/>
    </row>
    <row r="104" spans="1:5" ht="15">
      <c r="A104" s="28" t="s">
        <v>266</v>
      </c>
      <c r="B104" s="29" t="s">
        <v>66</v>
      </c>
      <c r="C104" s="30">
        <f>Головна!F2*10.2</f>
        <v>299.87999999999994</v>
      </c>
      <c r="E104" s="27"/>
    </row>
    <row r="105" spans="1:5" ht="15">
      <c r="A105" s="28" t="s">
        <v>267</v>
      </c>
      <c r="B105" s="29" t="s">
        <v>53</v>
      </c>
      <c r="C105" s="30">
        <f>Головна!F2*12.67875</f>
        <v>372.75525</v>
      </c>
      <c r="E105" s="27"/>
    </row>
    <row r="106" spans="1:5" ht="15">
      <c r="A106" s="28" t="s">
        <v>267</v>
      </c>
      <c r="B106" s="29" t="s">
        <v>49</v>
      </c>
      <c r="C106" s="30" t="s">
        <v>250</v>
      </c>
      <c r="E106" s="27"/>
    </row>
    <row r="107" spans="1:5" ht="15.75" thickBot="1">
      <c r="A107" s="28" t="s">
        <v>282</v>
      </c>
      <c r="B107" s="29" t="s">
        <v>67</v>
      </c>
      <c r="C107" s="30" t="s">
        <v>250</v>
      </c>
      <c r="D107" s="34" t="s">
        <v>226</v>
      </c>
      <c r="E107" s="27"/>
    </row>
    <row r="108" spans="1:3" ht="16.5" thickBot="1">
      <c r="A108" s="36" t="s">
        <v>173</v>
      </c>
      <c r="B108" s="397" t="s">
        <v>269</v>
      </c>
      <c r="C108" s="397"/>
    </row>
    <row r="109" spans="1:3" ht="15">
      <c r="A109" s="28" t="s">
        <v>286</v>
      </c>
      <c r="B109" s="29" t="s">
        <v>63</v>
      </c>
      <c r="C109" s="30">
        <f>Головна!F2*188.04</f>
        <v>5528.375999999999</v>
      </c>
    </row>
    <row r="110" spans="1:4" ht="15">
      <c r="A110" s="28" t="s">
        <v>287</v>
      </c>
      <c r="B110" s="29" t="s">
        <v>53</v>
      </c>
      <c r="C110" s="30">
        <f>Головна!F2*188.04</f>
        <v>5528.375999999999</v>
      </c>
      <c r="D110" s="34" t="s">
        <v>226</v>
      </c>
    </row>
    <row r="111" spans="1:3" ht="15.75">
      <c r="A111" s="36" t="s">
        <v>291</v>
      </c>
      <c r="B111" s="397" t="s">
        <v>269</v>
      </c>
      <c r="C111" s="397"/>
    </row>
    <row r="112" spans="1:3" ht="15">
      <c r="A112" s="28" t="s">
        <v>288</v>
      </c>
      <c r="B112" s="29" t="s">
        <v>63</v>
      </c>
      <c r="C112" s="30">
        <f>Головна!F2*220.11</f>
        <v>6471.234</v>
      </c>
    </row>
    <row r="113" spans="1:4" ht="15">
      <c r="A113" s="28" t="s">
        <v>289</v>
      </c>
      <c r="B113" s="29" t="s">
        <v>53</v>
      </c>
      <c r="C113" s="30">
        <f>Головна!F2*220.11</f>
        <v>6471.234</v>
      </c>
      <c r="D113" s="34" t="s">
        <v>226</v>
      </c>
    </row>
    <row r="114" spans="1:3" ht="15.75">
      <c r="A114" s="36" t="s">
        <v>292</v>
      </c>
      <c r="B114" s="397" t="s">
        <v>269</v>
      </c>
      <c r="C114" s="397"/>
    </row>
    <row r="115" spans="1:3" ht="15">
      <c r="A115" s="28" t="s">
        <v>295</v>
      </c>
      <c r="B115" s="29" t="s">
        <v>63</v>
      </c>
      <c r="C115" s="30">
        <f>Головна!F2*224.25</f>
        <v>6592.95</v>
      </c>
    </row>
    <row r="116" spans="1:4" ht="15">
      <c r="A116" s="28" t="s">
        <v>296</v>
      </c>
      <c r="B116" s="29" t="s">
        <v>53</v>
      </c>
      <c r="C116" s="30">
        <f>Головна!F2*224.25</f>
        <v>6592.95</v>
      </c>
      <c r="D116" s="34" t="s">
        <v>226</v>
      </c>
    </row>
    <row r="117" spans="1:3" ht="16.5" thickBot="1">
      <c r="A117" s="36" t="s">
        <v>525</v>
      </c>
      <c r="B117" s="397" t="s">
        <v>269</v>
      </c>
      <c r="C117" s="397"/>
    </row>
    <row r="118" spans="1:3" ht="15">
      <c r="A118" s="28" t="s">
        <v>299</v>
      </c>
      <c r="B118" s="29" t="s">
        <v>63</v>
      </c>
      <c r="C118" s="30">
        <f>Головна!F2*183.65</f>
        <v>5399.3099999999995</v>
      </c>
    </row>
    <row r="119" spans="1:4" ht="15.75" thickBot="1">
      <c r="A119" s="28" t="s">
        <v>300</v>
      </c>
      <c r="B119" s="29" t="s">
        <v>53</v>
      </c>
      <c r="C119" s="30">
        <f>Головна!F2*183.65</f>
        <v>5399.3099999999995</v>
      </c>
      <c r="D119" s="34" t="s">
        <v>226</v>
      </c>
    </row>
    <row r="120" spans="1:3" ht="16.5" thickBot="1">
      <c r="A120" s="35" t="s">
        <v>189</v>
      </c>
      <c r="B120" s="397" t="s">
        <v>269</v>
      </c>
      <c r="C120" s="397"/>
    </row>
    <row r="121" spans="1:3" ht="15">
      <c r="A121" s="28" t="s">
        <v>303</v>
      </c>
      <c r="B121" s="29" t="s">
        <v>69</v>
      </c>
      <c r="C121" s="30">
        <f>Головна!F2*66.86</f>
        <v>1965.684</v>
      </c>
    </row>
    <row r="122" spans="1:4" ht="15.75" thickBot="1">
      <c r="A122" s="28" t="s">
        <v>304</v>
      </c>
      <c r="B122" s="29" t="s">
        <v>70</v>
      </c>
      <c r="C122" s="30">
        <f>Головна!F2*66.86</f>
        <v>1965.684</v>
      </c>
      <c r="D122" s="34" t="s">
        <v>226</v>
      </c>
    </row>
    <row r="123" spans="1:3" ht="15.75">
      <c r="A123" s="36" t="s">
        <v>293</v>
      </c>
      <c r="B123" s="397" t="s">
        <v>269</v>
      </c>
      <c r="C123" s="397"/>
    </row>
    <row r="124" spans="1:3" ht="15">
      <c r="A124" s="28" t="s">
        <v>301</v>
      </c>
      <c r="B124" s="29" t="s">
        <v>69</v>
      </c>
      <c r="C124" s="30" t="s">
        <v>250</v>
      </c>
    </row>
    <row r="125" spans="1:4" ht="15">
      <c r="A125" s="28" t="s">
        <v>302</v>
      </c>
      <c r="B125" s="29" t="s">
        <v>35</v>
      </c>
      <c r="C125" s="30" t="s">
        <v>250</v>
      </c>
      <c r="D125" s="34" t="s">
        <v>226</v>
      </c>
    </row>
    <row r="126" spans="1:3" ht="15.75">
      <c r="A126" s="39" t="s">
        <v>174</v>
      </c>
      <c r="B126" s="397" t="s">
        <v>269</v>
      </c>
      <c r="C126" s="397"/>
    </row>
    <row r="127" spans="1:3" ht="15">
      <c r="A127" s="28" t="s">
        <v>307</v>
      </c>
      <c r="B127" s="29" t="s">
        <v>69</v>
      </c>
      <c r="C127" s="30">
        <f>Головна!F2*54.67</f>
        <v>1607.298</v>
      </c>
    </row>
    <row r="128" spans="1:4" ht="15">
      <c r="A128" s="31" t="s">
        <v>308</v>
      </c>
      <c r="B128" s="32" t="s">
        <v>35</v>
      </c>
      <c r="C128" s="33">
        <f>Головна!F2*54.67</f>
        <v>1607.298</v>
      </c>
      <c r="D128" s="34" t="s">
        <v>226</v>
      </c>
    </row>
    <row r="129" spans="1:3" ht="15.75">
      <c r="A129" s="36" t="s">
        <v>294</v>
      </c>
      <c r="B129" s="397" t="s">
        <v>269</v>
      </c>
      <c r="C129" s="397"/>
    </row>
    <row r="130" spans="1:3" ht="15">
      <c r="A130" s="40" t="s">
        <v>309</v>
      </c>
      <c r="B130" s="41" t="s">
        <v>69</v>
      </c>
      <c r="C130" s="42" t="s">
        <v>250</v>
      </c>
    </row>
    <row r="131" spans="1:4" ht="15.75" thickBot="1">
      <c r="A131" s="43" t="s">
        <v>310</v>
      </c>
      <c r="B131" s="44" t="s">
        <v>35</v>
      </c>
      <c r="C131" s="37" t="s">
        <v>250</v>
      </c>
      <c r="D131" s="34" t="s">
        <v>226</v>
      </c>
    </row>
    <row r="132" spans="1:3" ht="16.5" thickBot="1">
      <c r="A132" s="36" t="s">
        <v>175</v>
      </c>
      <c r="B132" s="397" t="s">
        <v>269</v>
      </c>
      <c r="C132" s="397"/>
    </row>
    <row r="133" spans="1:3" ht="15">
      <c r="A133" s="40" t="s">
        <v>305</v>
      </c>
      <c r="B133" s="41" t="s">
        <v>71</v>
      </c>
      <c r="C133" s="42" t="s">
        <v>250</v>
      </c>
    </row>
    <row r="134" spans="1:4" ht="15">
      <c r="A134" s="43" t="s">
        <v>306</v>
      </c>
      <c r="B134" s="44" t="s">
        <v>72</v>
      </c>
      <c r="C134" s="37" t="s">
        <v>250</v>
      </c>
      <c r="D134" s="34" t="s">
        <v>226</v>
      </c>
    </row>
    <row r="135" spans="1:3" ht="9" customHeight="1">
      <c r="A135" s="45"/>
      <c r="B135" s="46"/>
      <c r="C135" s="47"/>
    </row>
    <row r="136" spans="1:3" ht="12.75" customHeight="1">
      <c r="A136" s="398" t="s">
        <v>311</v>
      </c>
      <c r="B136" s="398"/>
      <c r="C136" s="398"/>
    </row>
    <row r="137" spans="1:3" ht="12.75">
      <c r="A137" s="398"/>
      <c r="B137" s="398"/>
      <c r="C137" s="398"/>
    </row>
    <row r="138" spans="1:3" ht="12.75">
      <c r="A138" s="398"/>
      <c r="B138" s="398"/>
      <c r="C138" s="398"/>
    </row>
    <row r="139" spans="1:3" ht="12.75">
      <c r="A139" s="398"/>
      <c r="B139" s="398"/>
      <c r="C139" s="398"/>
    </row>
    <row r="140" spans="1:3" ht="12.75">
      <c r="A140" s="398"/>
      <c r="B140" s="398"/>
      <c r="C140" s="398"/>
    </row>
    <row r="141" spans="1:3" ht="12.75">
      <c r="A141" s="398"/>
      <c r="B141" s="398"/>
      <c r="C141" s="398"/>
    </row>
    <row r="142" spans="1:3" ht="12.75">
      <c r="A142" s="398"/>
      <c r="B142" s="398"/>
      <c r="C142" s="398"/>
    </row>
    <row r="143" spans="1:3" ht="12.75">
      <c r="A143" s="398"/>
      <c r="B143" s="398"/>
      <c r="C143" s="398"/>
    </row>
    <row r="145" ht="15">
      <c r="A145" s="11" t="str">
        <f>Головна!A32</f>
        <v>Всі ціни вказані станом на 05.07.2019 р.</v>
      </c>
    </row>
  </sheetData>
  <sheetProtection selectLockedCells="1" selectUnlockedCells="1"/>
  <mergeCells count="28">
    <mergeCell ref="B45:C45"/>
    <mergeCell ref="A136:C143"/>
    <mergeCell ref="B123:C123"/>
    <mergeCell ref="B126:C126"/>
    <mergeCell ref="B129:C129"/>
    <mergeCell ref="B132:C132"/>
    <mergeCell ref="B111:C111"/>
    <mergeCell ref="B114:C114"/>
    <mergeCell ref="B117:C117"/>
    <mergeCell ref="B120:C120"/>
    <mergeCell ref="B108:C108"/>
    <mergeCell ref="B61:C61"/>
    <mergeCell ref="B73:C73"/>
    <mergeCell ref="B76:C76"/>
    <mergeCell ref="B79:C79"/>
    <mergeCell ref="B87:C87"/>
    <mergeCell ref="B95:C95"/>
    <mergeCell ref="B101:C101"/>
    <mergeCell ref="B48:C48"/>
    <mergeCell ref="A1:C1"/>
    <mergeCell ref="A2:C2"/>
    <mergeCell ref="B4:B8"/>
    <mergeCell ref="C4:C8"/>
    <mergeCell ref="B10:C10"/>
    <mergeCell ref="B22:C22"/>
    <mergeCell ref="B30:C30"/>
    <mergeCell ref="B38:C38"/>
    <mergeCell ref="B42:C42"/>
  </mergeCells>
  <hyperlinks>
    <hyperlink ref="A8" r:id="rId1" display="www.plastics.ua/industrial/Инженерные пластики"/>
    <hyperlink ref="B10" r:id="rId2" display="Смотреть на сайте"/>
    <hyperlink ref="D21" location="Главная!A1" display="на главную"/>
    <hyperlink ref="B22" r:id="rId3" display="Смотреть на сайте"/>
    <hyperlink ref="D29" location="Главная!A1" display="на главную"/>
    <hyperlink ref="B30" r:id="rId4" display="Смотреть на сайте"/>
    <hyperlink ref="D37" location="Главная!A1" display="на главную"/>
    <hyperlink ref="B38" r:id="rId5" display="Смотреть на сайте"/>
    <hyperlink ref="D41" location="Главная!A1" display="на главную"/>
    <hyperlink ref="B42" r:id="rId6" display="Смотреть на сайте"/>
    <hyperlink ref="D44" location="Главная!A1" display="на главную"/>
    <hyperlink ref="B45" r:id="rId7" display="Смотреть на сайте"/>
    <hyperlink ref="D47" location="Главная!A1" display="на главную"/>
    <hyperlink ref="B48" r:id="rId8" display="Смотреть на сайте"/>
    <hyperlink ref="D60" location="Главная!A1" display="на главную"/>
    <hyperlink ref="B61" r:id="rId9" display="Смотреть на сайте"/>
    <hyperlink ref="D72" location="Главная!A1" display="на главную"/>
    <hyperlink ref="B73" r:id="rId10" display="Смотреть на сайте"/>
    <hyperlink ref="D75" location="Главная!A1" display="на главную"/>
    <hyperlink ref="B76" r:id="rId11" display="Смотреть на сайте"/>
    <hyperlink ref="D78" location="Главная!A1" display="на главную"/>
    <hyperlink ref="B79" r:id="rId12" display="Смотреть на сайте"/>
    <hyperlink ref="D86" location="Главная!A1" display="на главную"/>
    <hyperlink ref="B87" r:id="rId13" display="Смотреть на сайте"/>
    <hyperlink ref="D94" location="Главная!A1" display="на главную"/>
    <hyperlink ref="B95" r:id="rId14" display="Смотреть на сайте"/>
    <hyperlink ref="D100" location="Главная!A1" display="на главную"/>
    <hyperlink ref="B101" r:id="rId15" display="Смотреть на сайте"/>
    <hyperlink ref="D107" location="Главная!A1" display="на главную"/>
    <hyperlink ref="B108" r:id="rId16" display="Смотреть на сайте"/>
    <hyperlink ref="D110" location="Главная!A1" display="на главную"/>
    <hyperlink ref="B111" r:id="rId17" display="Смотреть на сайте"/>
    <hyperlink ref="D113" location="Главная!A1" display="на главную"/>
    <hyperlink ref="B114" r:id="rId18" display="Смотреть на сайте"/>
    <hyperlink ref="D116" location="Главная!A1" display="на главную"/>
    <hyperlink ref="B117" r:id="rId19" display="Смотреть на сайте"/>
    <hyperlink ref="D119" location="Главная!A1" display="на главную"/>
    <hyperlink ref="B120" r:id="rId20" display="Смотреть на сайте"/>
    <hyperlink ref="D122" location="Главная!A1" display="на главную"/>
    <hyperlink ref="B123" r:id="rId21" display="Смотреть на сайте"/>
    <hyperlink ref="D125" location="Главная!A1" display="на главную"/>
    <hyperlink ref="B126" r:id="rId22" display="Смотреть на сайте"/>
    <hyperlink ref="D128" location="Главная!A1" display="на главную"/>
    <hyperlink ref="B129" r:id="rId23" display="Смотреть на сайте"/>
    <hyperlink ref="D131" location="Главная!A1" display="на главную"/>
    <hyperlink ref="B132" r:id="rId24" display="Смотреть на сайте"/>
    <hyperlink ref="D134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65" r:id="rId26"/>
  <rowBreaks count="2" manualBreakCount="2">
    <brk id="47" max="255" man="1"/>
    <brk id="100" max="255" man="1"/>
  </rowBreaks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E2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30" sqref="C30"/>
    </sheetView>
  </sheetViews>
  <sheetFormatPr defaultColWidth="8.7109375" defaultRowHeight="12.75"/>
  <cols>
    <col min="1" max="1" width="83.8515625" style="12" customWidth="1"/>
    <col min="2" max="2" width="20.28125" style="12" customWidth="1"/>
    <col min="3" max="3" width="15.57421875" style="13" customWidth="1"/>
    <col min="4" max="4" width="10.8515625" style="12" customWidth="1"/>
    <col min="5" max="16384" width="8.7109375" style="12" customWidth="1"/>
  </cols>
  <sheetData>
    <row r="1" spans="1:3" ht="78" customHeight="1">
      <c r="A1" s="383"/>
      <c r="B1" s="383"/>
      <c r="C1" s="383"/>
    </row>
    <row r="2" spans="1:3" s="14" customFormat="1" ht="25.5" customHeight="1">
      <c r="A2" s="394"/>
      <c r="B2" s="394"/>
      <c r="C2" s="394"/>
    </row>
    <row r="3" spans="1:3" ht="14.25" customHeight="1">
      <c r="A3" s="15"/>
      <c r="B3" s="16"/>
      <c r="C3" s="17"/>
    </row>
    <row r="4" spans="1:3" ht="29.25">
      <c r="A4" s="18" t="s">
        <v>530</v>
      </c>
      <c r="B4" s="395"/>
      <c r="C4" s="396"/>
    </row>
    <row r="5" spans="1:3" ht="12.75">
      <c r="A5" s="19" t="s">
        <v>537</v>
      </c>
      <c r="B5" s="395"/>
      <c r="C5" s="396"/>
    </row>
    <row r="6" spans="1:3" ht="12.75">
      <c r="A6" s="20"/>
      <c r="B6" s="395"/>
      <c r="C6" s="396"/>
    </row>
    <row r="7" spans="1:3" ht="12.75" customHeight="1">
      <c r="A7" s="21" t="s">
        <v>227</v>
      </c>
      <c r="B7" s="395"/>
      <c r="C7" s="396"/>
    </row>
    <row r="8" spans="1:3" ht="12.75" customHeight="1">
      <c r="A8" s="343" t="s">
        <v>177</v>
      </c>
      <c r="B8" s="395"/>
      <c r="C8" s="396"/>
    </row>
    <row r="9" spans="1:3" ht="45.75" thickBot="1">
      <c r="A9" s="22" t="s">
        <v>532</v>
      </c>
      <c r="B9" s="22" t="s">
        <v>224</v>
      </c>
      <c r="C9" s="22" t="s">
        <v>225</v>
      </c>
    </row>
    <row r="10" spans="1:3" ht="16.5" customHeight="1" thickBot="1">
      <c r="A10" s="352" t="s">
        <v>533</v>
      </c>
      <c r="B10" s="399" t="s">
        <v>269</v>
      </c>
      <c r="C10" s="400"/>
    </row>
    <row r="11" spans="1:5" ht="15">
      <c r="A11" s="344" t="s">
        <v>539</v>
      </c>
      <c r="B11" s="345" t="s">
        <v>68</v>
      </c>
      <c r="C11" s="346">
        <f>'[1]Главная'!G2*13.52</f>
        <v>346.112</v>
      </c>
      <c r="E11" s="27"/>
    </row>
    <row r="12" spans="1:5" ht="15">
      <c r="A12" s="347" t="s">
        <v>540</v>
      </c>
      <c r="B12" s="29" t="s">
        <v>534</v>
      </c>
      <c r="C12" s="348">
        <f>'[1]Главная'!G2*13.52</f>
        <v>346.112</v>
      </c>
      <c r="E12" s="27"/>
    </row>
    <row r="13" spans="1:5" ht="15.75" thickBot="1">
      <c r="A13" s="349" t="s">
        <v>541</v>
      </c>
      <c r="B13" s="350" t="s">
        <v>535</v>
      </c>
      <c r="C13" s="351">
        <f>'[1]Главная'!G2*13.52</f>
        <v>346.112</v>
      </c>
      <c r="D13" s="34" t="s">
        <v>536</v>
      </c>
      <c r="E13" s="27"/>
    </row>
    <row r="14" spans="1:3" ht="9" customHeight="1">
      <c r="A14" s="45"/>
      <c r="B14" s="46"/>
      <c r="C14" s="47"/>
    </row>
    <row r="15" spans="1:3" ht="12.75" customHeight="1">
      <c r="A15" s="398" t="s">
        <v>538</v>
      </c>
      <c r="B15" s="398"/>
      <c r="C15" s="398"/>
    </row>
    <row r="16" spans="1:3" ht="12.75">
      <c r="A16" s="398"/>
      <c r="B16" s="398"/>
      <c r="C16" s="398"/>
    </row>
    <row r="17" spans="1:3" ht="12.75">
      <c r="A17" s="398"/>
      <c r="B17" s="398"/>
      <c r="C17" s="398"/>
    </row>
    <row r="18" spans="1:3" ht="12.75">
      <c r="A18" s="398"/>
      <c r="B18" s="398"/>
      <c r="C18" s="398"/>
    </row>
    <row r="19" spans="1:3" ht="12.75">
      <c r="A19" s="398"/>
      <c r="B19" s="398"/>
      <c r="C19" s="398"/>
    </row>
    <row r="21" ht="15">
      <c r="A21" s="11" t="str">
        <f>'[1]Главная'!A33</f>
        <v>Все цены указаны по состоянию на 13.10.2016г.</v>
      </c>
    </row>
  </sheetData>
  <sheetProtection selectLockedCells="1" selectUnlockedCells="1"/>
  <mergeCells count="6">
    <mergeCell ref="B10:C10"/>
    <mergeCell ref="A15:C19"/>
    <mergeCell ref="A1:C1"/>
    <mergeCell ref="A2:C2"/>
    <mergeCell ref="B4:B8"/>
    <mergeCell ref="C4:C8"/>
  </mergeCells>
  <hyperlinks>
    <hyperlink ref="D13" location="Главная!A1" display="на главную"/>
    <hyperlink ref="A8" r:id="rId1" display="www.plastics.ua/industrial/ІНЖЕНЕРНІ ПЛАСТИКИ"/>
    <hyperlink ref="B10" r:id="rId2" display="Смотреть на сайте"/>
    <hyperlink ref="B10:C10" r:id="rId3" display="Дивитися на сайті"/>
  </hyperlinks>
  <printOptions/>
  <pageMargins left="0.9840277777777777" right="0.39375" top="0.39375" bottom="0.39375" header="0.5118055555555555" footer="0.5118055555555555"/>
  <pageSetup horizontalDpi="300" verticalDpi="300" orientation="portrait" paperSize="9" scale="65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51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P9" sqref="P9"/>
    </sheetView>
  </sheetViews>
  <sheetFormatPr defaultColWidth="9.140625" defaultRowHeight="12.75"/>
  <cols>
    <col min="1" max="1" width="19.00390625" style="48" customWidth="1"/>
    <col min="2" max="2" width="17.421875" style="48" customWidth="1"/>
    <col min="3" max="3" width="25.00390625" style="48" customWidth="1"/>
    <col min="4" max="4" width="8.57421875" style="48" customWidth="1"/>
    <col min="5" max="5" width="6.140625" style="48" customWidth="1"/>
    <col min="6" max="7" width="7.57421875" style="48" customWidth="1"/>
    <col min="8" max="8" width="8.7109375" style="48" customWidth="1"/>
    <col min="9" max="9" width="7.8515625" style="48" customWidth="1"/>
    <col min="10" max="10" width="12.421875" style="48" customWidth="1"/>
    <col min="11" max="11" width="11.7109375" style="48" customWidth="1"/>
    <col min="12" max="12" width="9.28125" style="48" customWidth="1"/>
    <col min="13" max="16384" width="9.140625" style="48" customWidth="1"/>
  </cols>
  <sheetData>
    <row r="1" spans="1:11" ht="12.7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63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32.2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21" customHeight="1">
      <c r="A4" s="403" t="s">
        <v>178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</row>
    <row r="5" spans="1:11" ht="15">
      <c r="A5" s="49"/>
      <c r="B5" s="49"/>
      <c r="C5" s="49"/>
      <c r="D5" s="49"/>
      <c r="E5" s="49"/>
      <c r="F5" s="49"/>
      <c r="G5" s="49"/>
      <c r="H5" s="50"/>
      <c r="I5" s="50"/>
      <c r="J5" s="50"/>
      <c r="K5" s="50"/>
    </row>
    <row r="6" spans="1:11" ht="27.75" customHeight="1">
      <c r="A6" s="404" t="s">
        <v>10</v>
      </c>
      <c r="B6" s="404"/>
      <c r="C6" s="404"/>
      <c r="D6" s="404"/>
      <c r="E6" s="404"/>
      <c r="F6" s="404"/>
      <c r="G6" s="404"/>
      <c r="H6" s="405"/>
      <c r="I6" s="405"/>
      <c r="J6" s="406"/>
      <c r="K6" s="406"/>
    </row>
    <row r="7" spans="1:11" ht="15.75">
      <c r="A7" s="53" t="s">
        <v>217</v>
      </c>
      <c r="B7" s="52"/>
      <c r="C7" s="52"/>
      <c r="D7" s="52"/>
      <c r="E7" s="52"/>
      <c r="F7" s="52"/>
      <c r="G7" s="52"/>
      <c r="H7" s="405"/>
      <c r="I7" s="405"/>
      <c r="J7" s="406"/>
      <c r="K7" s="406"/>
    </row>
    <row r="8" spans="1:11" ht="15.75">
      <c r="A8" s="7" t="s">
        <v>73</v>
      </c>
      <c r="B8" s="52"/>
      <c r="C8" s="52"/>
      <c r="D8" s="52"/>
      <c r="E8" s="52"/>
      <c r="F8" s="52"/>
      <c r="G8" s="52"/>
      <c r="H8" s="405"/>
      <c r="I8" s="405"/>
      <c r="J8" s="406"/>
      <c r="K8" s="406"/>
    </row>
    <row r="9" spans="1:11" ht="15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97.5" customHeight="1" thickBot="1">
      <c r="A10" s="55" t="s">
        <v>222</v>
      </c>
      <c r="B10" s="55" t="s">
        <v>312</v>
      </c>
      <c r="C10" s="55" t="s">
        <v>313</v>
      </c>
      <c r="D10" s="56" t="s">
        <v>314</v>
      </c>
      <c r="E10" s="56" t="s">
        <v>315</v>
      </c>
      <c r="F10" s="56" t="s">
        <v>78</v>
      </c>
      <c r="G10" s="57" t="s">
        <v>317</v>
      </c>
      <c r="H10" s="57" t="s">
        <v>327</v>
      </c>
      <c r="I10" s="57" t="s">
        <v>323</v>
      </c>
      <c r="J10" s="57" t="s">
        <v>324</v>
      </c>
      <c r="K10" s="57" t="s">
        <v>322</v>
      </c>
    </row>
    <row r="11" spans="1:12" ht="15.75" customHeight="1" thickBot="1">
      <c r="A11" s="407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58"/>
    </row>
    <row r="12" spans="1:12" ht="31.5">
      <c r="A12" s="355" t="s">
        <v>10</v>
      </c>
      <c r="B12" s="356" t="s">
        <v>268</v>
      </c>
      <c r="C12" s="356" t="s">
        <v>522</v>
      </c>
      <c r="D12" s="356">
        <v>1.06</v>
      </c>
      <c r="E12" s="356">
        <v>2</v>
      </c>
      <c r="F12" s="356">
        <v>1000</v>
      </c>
      <c r="G12" s="356">
        <v>2000</v>
      </c>
      <c r="H12" s="357">
        <f aca="true" t="shared" si="0" ref="H12:H21">E12/1000*D12*1000</f>
        <v>2.1200000000000006</v>
      </c>
      <c r="I12" s="357">
        <f aca="true" t="shared" si="1" ref="I12:I21">E12/1000*F12/1000*G12/1000*D12*1000</f>
        <v>4.240000000000001</v>
      </c>
      <c r="J12" s="357">
        <f>L12*I12*Головна!F$2</f>
        <v>394.28692800000005</v>
      </c>
      <c r="K12" s="358">
        <f aca="true" t="shared" si="2" ref="K12:K21">J12/2</f>
        <v>197.14346400000002</v>
      </c>
      <c r="L12" s="58">
        <v>3.163</v>
      </c>
    </row>
    <row r="13" spans="1:12" ht="31.5">
      <c r="A13" s="359" t="s">
        <v>10</v>
      </c>
      <c r="B13" s="60" t="s">
        <v>268</v>
      </c>
      <c r="C13" s="60" t="s">
        <v>522</v>
      </c>
      <c r="D13" s="60">
        <v>1.06</v>
      </c>
      <c r="E13" s="60">
        <v>3</v>
      </c>
      <c r="F13" s="60">
        <v>1000</v>
      </c>
      <c r="G13" s="60">
        <v>2000</v>
      </c>
      <c r="H13" s="61">
        <f t="shared" si="0"/>
        <v>3.18</v>
      </c>
      <c r="I13" s="61">
        <f t="shared" si="1"/>
        <v>6.36</v>
      </c>
      <c r="J13" s="61">
        <f>L13*I13*Головна!F$2</f>
        <v>591.430392</v>
      </c>
      <c r="K13" s="360">
        <f t="shared" si="2"/>
        <v>295.715196</v>
      </c>
      <c r="L13" s="58">
        <v>3.163</v>
      </c>
    </row>
    <row r="14" spans="1:12" ht="31.5">
      <c r="A14" s="359" t="s">
        <v>10</v>
      </c>
      <c r="B14" s="60" t="s">
        <v>268</v>
      </c>
      <c r="C14" s="60" t="s">
        <v>522</v>
      </c>
      <c r="D14" s="60">
        <v>1.06</v>
      </c>
      <c r="E14" s="60">
        <v>4</v>
      </c>
      <c r="F14" s="60">
        <v>1000</v>
      </c>
      <c r="G14" s="60">
        <v>2000</v>
      </c>
      <c r="H14" s="61">
        <f t="shared" si="0"/>
        <v>4.240000000000001</v>
      </c>
      <c r="I14" s="61">
        <f t="shared" si="1"/>
        <v>8.480000000000002</v>
      </c>
      <c r="J14" s="59">
        <f>L14*I14*Головна!F$2</f>
        <v>788.5738560000001</v>
      </c>
      <c r="K14" s="360">
        <f t="shared" si="2"/>
        <v>394.28692800000005</v>
      </c>
      <c r="L14" s="58">
        <v>3.163</v>
      </c>
    </row>
    <row r="15" spans="1:12" ht="30">
      <c r="A15" s="361" t="s">
        <v>10</v>
      </c>
      <c r="B15" s="62" t="s">
        <v>268</v>
      </c>
      <c r="C15" s="62" t="s">
        <v>522</v>
      </c>
      <c r="D15" s="62">
        <v>1.06</v>
      </c>
      <c r="E15" s="62">
        <v>5</v>
      </c>
      <c r="F15" s="62">
        <v>1000</v>
      </c>
      <c r="G15" s="62">
        <v>2000</v>
      </c>
      <c r="H15" s="63">
        <f t="shared" si="0"/>
        <v>5.3</v>
      </c>
      <c r="I15" s="63">
        <f t="shared" si="1"/>
        <v>10.6</v>
      </c>
      <c r="J15" s="64">
        <f>L15*I15*Головна!F$2</f>
        <v>985.71732</v>
      </c>
      <c r="K15" s="362">
        <f t="shared" si="2"/>
        <v>492.85866</v>
      </c>
      <c r="L15" s="58">
        <v>3.163</v>
      </c>
    </row>
    <row r="16" spans="1:12" ht="30">
      <c r="A16" s="375" t="s">
        <v>10</v>
      </c>
      <c r="B16" s="62" t="s">
        <v>268</v>
      </c>
      <c r="C16" s="62" t="s">
        <v>522</v>
      </c>
      <c r="D16" s="62">
        <v>1.06</v>
      </c>
      <c r="E16" s="62">
        <v>6</v>
      </c>
      <c r="F16" s="62">
        <v>1000</v>
      </c>
      <c r="G16" s="62">
        <v>2000</v>
      </c>
      <c r="H16" s="63">
        <f t="shared" si="0"/>
        <v>6.36</v>
      </c>
      <c r="I16" s="63">
        <f t="shared" si="1"/>
        <v>12.72</v>
      </c>
      <c r="J16" s="63">
        <f>L16*I16*Головна!F$2</f>
        <v>1182.860784</v>
      </c>
      <c r="K16" s="362">
        <f t="shared" si="2"/>
        <v>591.430392</v>
      </c>
      <c r="L16" s="58">
        <v>3.163</v>
      </c>
    </row>
    <row r="17" spans="1:12" ht="31.5">
      <c r="A17" s="374" t="s">
        <v>10</v>
      </c>
      <c r="B17" s="60" t="s">
        <v>543</v>
      </c>
      <c r="C17" s="60" t="s">
        <v>522</v>
      </c>
      <c r="D17" s="60">
        <v>1.06</v>
      </c>
      <c r="E17" s="60">
        <v>2</v>
      </c>
      <c r="F17" s="60">
        <v>2050</v>
      </c>
      <c r="G17" s="60">
        <v>3050</v>
      </c>
      <c r="H17" s="61">
        <f t="shared" si="0"/>
        <v>2.1200000000000006</v>
      </c>
      <c r="I17" s="61">
        <f t="shared" si="1"/>
        <v>13.2553</v>
      </c>
      <c r="J17" s="61">
        <f>L17*I17*Головна!F$2</f>
        <v>1514.0071106999999</v>
      </c>
      <c r="K17" s="360">
        <f t="shared" si="2"/>
        <v>757.0035553499999</v>
      </c>
      <c r="L17" s="58">
        <v>3.885</v>
      </c>
    </row>
    <row r="18" spans="1:12" ht="31.5">
      <c r="A18" s="359" t="s">
        <v>10</v>
      </c>
      <c r="B18" s="60" t="s">
        <v>543</v>
      </c>
      <c r="C18" s="60" t="s">
        <v>522</v>
      </c>
      <c r="D18" s="60">
        <v>1.06</v>
      </c>
      <c r="E18" s="60">
        <v>3</v>
      </c>
      <c r="F18" s="60">
        <v>2050</v>
      </c>
      <c r="G18" s="60">
        <v>3050</v>
      </c>
      <c r="H18" s="61">
        <f t="shared" si="0"/>
        <v>3.18</v>
      </c>
      <c r="I18" s="61">
        <f t="shared" si="1"/>
        <v>19.88295</v>
      </c>
      <c r="J18" s="61">
        <f>L18*I18*Головна!F$2</f>
        <v>2331.80477397</v>
      </c>
      <c r="K18" s="360">
        <f t="shared" si="2"/>
        <v>1165.902386985</v>
      </c>
      <c r="L18" s="58">
        <v>3.989</v>
      </c>
    </row>
    <row r="19" spans="1:12" ht="31.5">
      <c r="A19" s="359" t="s">
        <v>10</v>
      </c>
      <c r="B19" s="60" t="s">
        <v>543</v>
      </c>
      <c r="C19" s="60" t="s">
        <v>522</v>
      </c>
      <c r="D19" s="60">
        <v>1.06</v>
      </c>
      <c r="E19" s="60">
        <v>4</v>
      </c>
      <c r="F19" s="60">
        <v>2050</v>
      </c>
      <c r="G19" s="60">
        <v>3050</v>
      </c>
      <c r="H19" s="61">
        <f t="shared" si="0"/>
        <v>4.240000000000001</v>
      </c>
      <c r="I19" s="61">
        <f t="shared" si="1"/>
        <v>26.5106</v>
      </c>
      <c r="J19" s="59">
        <f>L19*I19*Головна!F$2</f>
        <v>3113.7495018</v>
      </c>
      <c r="K19" s="360">
        <f t="shared" si="2"/>
        <v>1556.8747509</v>
      </c>
      <c r="L19" s="58">
        <v>3.995</v>
      </c>
    </row>
    <row r="20" spans="1:12" ht="30">
      <c r="A20" s="361" t="s">
        <v>10</v>
      </c>
      <c r="B20" s="62" t="s">
        <v>543</v>
      </c>
      <c r="C20" s="62" t="s">
        <v>522</v>
      </c>
      <c r="D20" s="62">
        <v>1.06</v>
      </c>
      <c r="E20" s="62">
        <v>5</v>
      </c>
      <c r="F20" s="62">
        <v>1000</v>
      </c>
      <c r="G20" s="62">
        <v>2000</v>
      </c>
      <c r="H20" s="63">
        <f t="shared" si="0"/>
        <v>5.3</v>
      </c>
      <c r="I20" s="63">
        <f t="shared" si="1"/>
        <v>10.6</v>
      </c>
      <c r="J20" s="64">
        <f>L20*I20*Головна!F$2</f>
        <v>1267.2321199999988</v>
      </c>
      <c r="K20" s="362">
        <f t="shared" si="2"/>
        <v>633.6160599999994</v>
      </c>
      <c r="L20" s="58">
        <v>4.06633333333333</v>
      </c>
    </row>
    <row r="21" spans="1:12" ht="30.75" thickBot="1">
      <c r="A21" s="363" t="s">
        <v>10</v>
      </c>
      <c r="B21" s="353" t="s">
        <v>543</v>
      </c>
      <c r="C21" s="353" t="s">
        <v>522</v>
      </c>
      <c r="D21" s="353">
        <v>1.06</v>
      </c>
      <c r="E21" s="353">
        <v>6</v>
      </c>
      <c r="F21" s="353">
        <v>1000</v>
      </c>
      <c r="G21" s="353">
        <v>2000</v>
      </c>
      <c r="H21" s="354">
        <f t="shared" si="0"/>
        <v>6.36</v>
      </c>
      <c r="I21" s="354">
        <f t="shared" si="1"/>
        <v>12.72</v>
      </c>
      <c r="J21" s="354">
        <f>L21*I21*Головна!F$2</f>
        <v>1541.2467839999988</v>
      </c>
      <c r="K21" s="364">
        <f t="shared" si="2"/>
        <v>770.6233919999994</v>
      </c>
      <c r="L21" s="58">
        <v>4.12133333333333</v>
      </c>
    </row>
    <row r="22" spans="1:11" ht="15" customHeight="1">
      <c r="A22" s="49"/>
      <c r="B22" s="49"/>
      <c r="C22" s="49"/>
      <c r="D22" s="49"/>
      <c r="E22" s="49"/>
      <c r="F22" s="49"/>
      <c r="G22" s="49"/>
      <c r="H22" s="50"/>
      <c r="I22" s="50"/>
      <c r="J22" s="50"/>
      <c r="K22" s="50"/>
    </row>
    <row r="23" spans="1:11" ht="27.75" customHeight="1">
      <c r="A23" s="404" t="s">
        <v>74</v>
      </c>
      <c r="B23" s="404"/>
      <c r="C23" s="404"/>
      <c r="D23" s="51"/>
      <c r="E23" s="51"/>
      <c r="F23" s="51"/>
      <c r="G23" s="51"/>
      <c r="H23" s="404"/>
      <c r="I23" s="404"/>
      <c r="J23" s="406"/>
      <c r="K23" s="406"/>
    </row>
    <row r="24" spans="1:11" ht="27.75" customHeight="1">
      <c r="A24" s="408" t="s">
        <v>325</v>
      </c>
      <c r="B24" s="408"/>
      <c r="C24" s="408"/>
      <c r="D24" s="408"/>
      <c r="E24" s="408"/>
      <c r="F24" s="51"/>
      <c r="G24" s="51"/>
      <c r="H24" s="404"/>
      <c r="I24" s="404"/>
      <c r="J24" s="406"/>
      <c r="K24" s="406"/>
    </row>
    <row r="25" spans="1:11" ht="15.75" customHeight="1">
      <c r="A25" s="406" t="s">
        <v>326</v>
      </c>
      <c r="B25" s="406"/>
      <c r="C25" s="406"/>
      <c r="D25" s="65"/>
      <c r="E25" s="65"/>
      <c r="F25" s="65"/>
      <c r="G25" s="65"/>
      <c r="H25" s="404"/>
      <c r="I25" s="404"/>
      <c r="J25" s="406"/>
      <c r="K25" s="406"/>
    </row>
    <row r="26" spans="1:11" ht="15.75">
      <c r="A26" s="21" t="s">
        <v>218</v>
      </c>
      <c r="B26" s="52"/>
      <c r="C26" s="52"/>
      <c r="D26" s="65"/>
      <c r="E26" s="65"/>
      <c r="F26" s="65"/>
      <c r="G26" s="65"/>
      <c r="H26" s="404"/>
      <c r="I26" s="404"/>
      <c r="J26" s="406"/>
      <c r="K26" s="406"/>
    </row>
    <row r="27" spans="1:11" ht="15.75">
      <c r="A27" s="7" t="s">
        <v>75</v>
      </c>
      <c r="B27" s="52"/>
      <c r="C27" s="52"/>
      <c r="D27" s="65"/>
      <c r="E27" s="65"/>
      <c r="F27" s="65"/>
      <c r="G27" s="65"/>
      <c r="H27" s="404"/>
      <c r="I27" s="404"/>
      <c r="J27" s="406"/>
      <c r="K27" s="406"/>
    </row>
    <row r="28" spans="1:11" ht="99" customHeight="1">
      <c r="A28" s="315" t="s">
        <v>222</v>
      </c>
      <c r="B28" s="315" t="s">
        <v>312</v>
      </c>
      <c r="C28" s="315" t="s">
        <v>313</v>
      </c>
      <c r="D28" s="316" t="s">
        <v>314</v>
      </c>
      <c r="E28" s="316" t="s">
        <v>315</v>
      </c>
      <c r="F28" s="316" t="s">
        <v>78</v>
      </c>
      <c r="G28" s="317" t="s">
        <v>317</v>
      </c>
      <c r="H28" s="317" t="s">
        <v>328</v>
      </c>
      <c r="I28" s="317" t="s">
        <v>323</v>
      </c>
      <c r="J28" s="318" t="s">
        <v>324</v>
      </c>
      <c r="K28" s="318" t="s">
        <v>322</v>
      </c>
    </row>
    <row r="29" spans="1:12" ht="15">
      <c r="A29" s="62" t="s">
        <v>76</v>
      </c>
      <c r="B29" s="62" t="s">
        <v>283</v>
      </c>
      <c r="C29" s="62" t="s">
        <v>329</v>
      </c>
      <c r="D29" s="62">
        <v>1.08</v>
      </c>
      <c r="E29" s="62">
        <v>2</v>
      </c>
      <c r="F29" s="62">
        <v>1000</v>
      </c>
      <c r="G29" s="62">
        <v>2000</v>
      </c>
      <c r="H29" s="63">
        <f>E29/1000*D29*1000</f>
        <v>2.16</v>
      </c>
      <c r="I29" s="63">
        <f>E29/1000*F29/1000*G29/1000*D29*1000</f>
        <v>4.32</v>
      </c>
      <c r="J29" s="63">
        <f>Головна!F2*I29*L29</f>
        <v>762.048</v>
      </c>
      <c r="K29" s="63">
        <f>J29/2</f>
        <v>381.024</v>
      </c>
      <c r="L29" s="58">
        <v>6</v>
      </c>
    </row>
    <row r="30" spans="1:12" ht="15">
      <c r="A30" s="62" t="s">
        <v>76</v>
      </c>
      <c r="B30" s="62" t="s">
        <v>283</v>
      </c>
      <c r="C30" s="62" t="s">
        <v>329</v>
      </c>
      <c r="D30" s="62">
        <v>1.08</v>
      </c>
      <c r="E30" s="62">
        <v>3</v>
      </c>
      <c r="F30" s="62">
        <v>1000</v>
      </c>
      <c r="G30" s="62">
        <v>2000</v>
      </c>
      <c r="H30" s="63">
        <f>E30/1000*D30*1000</f>
        <v>3.24</v>
      </c>
      <c r="I30" s="63">
        <f>E30/1000*F30/1000*G30/1000*D30*1000</f>
        <v>6.48</v>
      </c>
      <c r="J30" s="63">
        <f>Головна!F2*I30*L30</f>
        <v>1143.0720000000001</v>
      </c>
      <c r="K30" s="63">
        <f>J30/2</f>
        <v>571.5360000000001</v>
      </c>
      <c r="L30" s="58">
        <v>6</v>
      </c>
    </row>
    <row r="31" spans="1:12" ht="15">
      <c r="A31" s="62" t="s">
        <v>76</v>
      </c>
      <c r="B31" s="62" t="s">
        <v>283</v>
      </c>
      <c r="C31" s="62" t="s">
        <v>329</v>
      </c>
      <c r="D31" s="62">
        <v>1.08</v>
      </c>
      <c r="E31" s="62">
        <v>4</v>
      </c>
      <c r="F31" s="62">
        <v>1000</v>
      </c>
      <c r="G31" s="62">
        <v>2000</v>
      </c>
      <c r="H31" s="63">
        <f>E31/1000*D31*1000</f>
        <v>4.32</v>
      </c>
      <c r="I31" s="63">
        <f>E31/1000*F31/1000*G31/1000*D31*1000</f>
        <v>8.64</v>
      </c>
      <c r="J31" s="63">
        <f>Головна!F2*I31*L31</f>
        <v>1524.096</v>
      </c>
      <c r="K31" s="63">
        <f>J31/2</f>
        <v>762.048</v>
      </c>
      <c r="L31" s="58">
        <v>6</v>
      </c>
    </row>
    <row r="32" spans="1:12" ht="15">
      <c r="A32" s="66" t="s">
        <v>76</v>
      </c>
      <c r="B32" s="66" t="s">
        <v>283</v>
      </c>
      <c r="C32" s="66" t="s">
        <v>329</v>
      </c>
      <c r="D32" s="66">
        <v>1.08</v>
      </c>
      <c r="E32" s="66">
        <v>5</v>
      </c>
      <c r="F32" s="66">
        <v>1000</v>
      </c>
      <c r="G32" s="66">
        <v>2000</v>
      </c>
      <c r="H32" s="67">
        <f>E32/1000*D32*1000</f>
        <v>5.4</v>
      </c>
      <c r="I32" s="67">
        <f>E32/1000*F32/1000*G32/1000*D32*1000</f>
        <v>10.8</v>
      </c>
      <c r="J32" s="67">
        <f>Головна!F2*I32*L32</f>
        <v>1905.12</v>
      </c>
      <c r="K32" s="67">
        <f>J32/2</f>
        <v>952.56</v>
      </c>
      <c r="L32" s="58">
        <v>6</v>
      </c>
    </row>
    <row r="33" spans="1:15" s="69" customFormat="1" ht="15">
      <c r="A33" s="49"/>
      <c r="B33" s="49"/>
      <c r="C33" s="49"/>
      <c r="D33" s="49"/>
      <c r="E33" s="49"/>
      <c r="F33" s="49"/>
      <c r="G33" s="49"/>
      <c r="H33" s="50"/>
      <c r="I33" s="50"/>
      <c r="J33" s="50"/>
      <c r="K33" s="50"/>
      <c r="L33" s="68"/>
      <c r="M33" s="48"/>
      <c r="N33" s="48"/>
      <c r="O33" s="48"/>
    </row>
    <row r="34" spans="1:12" ht="27.75" customHeight="1">
      <c r="A34" s="404" t="s">
        <v>74</v>
      </c>
      <c r="B34" s="404"/>
      <c r="C34" s="404"/>
      <c r="D34" s="70"/>
      <c r="E34" s="70"/>
      <c r="F34" s="70"/>
      <c r="G34" s="410"/>
      <c r="H34" s="410"/>
      <c r="I34" s="410"/>
      <c r="J34" s="411"/>
      <c r="K34" s="411"/>
      <c r="L34" s="68"/>
    </row>
    <row r="35" spans="1:12" ht="27.75" customHeight="1">
      <c r="A35" s="408" t="s">
        <v>325</v>
      </c>
      <c r="B35" s="408"/>
      <c r="C35" s="408"/>
      <c r="D35" s="408"/>
      <c r="E35" s="408"/>
      <c r="F35" s="71"/>
      <c r="G35" s="410"/>
      <c r="H35" s="410"/>
      <c r="I35" s="410"/>
      <c r="J35" s="411"/>
      <c r="K35" s="411"/>
      <c r="L35" s="68"/>
    </row>
    <row r="36" spans="1:12" ht="15.75" customHeight="1">
      <c r="A36" s="412" t="s">
        <v>330</v>
      </c>
      <c r="B36" s="412"/>
      <c r="C36" s="412"/>
      <c r="D36" s="52"/>
      <c r="E36" s="52"/>
      <c r="F36" s="52"/>
      <c r="G36" s="410"/>
      <c r="H36" s="410"/>
      <c r="I36" s="410"/>
      <c r="J36" s="411"/>
      <c r="K36" s="411"/>
      <c r="L36" s="68"/>
    </row>
    <row r="37" spans="1:12" ht="15.75">
      <c r="A37" s="21" t="s">
        <v>217</v>
      </c>
      <c r="B37" s="52"/>
      <c r="C37" s="52"/>
      <c r="D37" s="52"/>
      <c r="E37" s="52"/>
      <c r="F37" s="52"/>
      <c r="G37" s="410"/>
      <c r="H37" s="410"/>
      <c r="I37" s="410"/>
      <c r="J37" s="411"/>
      <c r="K37" s="411"/>
      <c r="L37" s="68"/>
    </row>
    <row r="38" spans="1:12" ht="18.75" customHeight="1">
      <c r="A38" s="7" t="s">
        <v>75</v>
      </c>
      <c r="B38" s="72"/>
      <c r="C38" s="72"/>
      <c r="D38" s="72"/>
      <c r="E38" s="72"/>
      <c r="F38" s="72"/>
      <c r="G38" s="410"/>
      <c r="H38" s="410"/>
      <c r="I38" s="410"/>
      <c r="J38" s="411"/>
      <c r="K38" s="411"/>
      <c r="L38" s="68"/>
    </row>
    <row r="39" spans="1:12" ht="15">
      <c r="A39" s="73" t="s">
        <v>76</v>
      </c>
      <c r="B39" s="73" t="s">
        <v>283</v>
      </c>
      <c r="C39" s="73" t="s">
        <v>329</v>
      </c>
      <c r="D39" s="73">
        <v>1.08</v>
      </c>
      <c r="E39" s="73">
        <v>2</v>
      </c>
      <c r="F39" s="73">
        <v>1000</v>
      </c>
      <c r="G39" s="73">
        <v>2000</v>
      </c>
      <c r="H39" s="74">
        <f>E39/1000*D39*1000</f>
        <v>2.16</v>
      </c>
      <c r="I39" s="74">
        <f>E39/1000*F39/1000*G39/1000*D39*1000</f>
        <v>4.32</v>
      </c>
      <c r="J39" s="74">
        <f>Головна!F2*I39*L39</f>
        <v>825.552</v>
      </c>
      <c r="K39" s="74">
        <f>J39/2</f>
        <v>412.776</v>
      </c>
      <c r="L39" s="58">
        <v>6.5</v>
      </c>
    </row>
    <row r="40" spans="1:12" ht="15">
      <c r="A40" s="62" t="s">
        <v>76</v>
      </c>
      <c r="B40" s="62" t="s">
        <v>283</v>
      </c>
      <c r="C40" s="62" t="s">
        <v>329</v>
      </c>
      <c r="D40" s="62">
        <v>1.08</v>
      </c>
      <c r="E40" s="62">
        <v>3</v>
      </c>
      <c r="F40" s="62">
        <v>1000</v>
      </c>
      <c r="G40" s="62">
        <v>2000</v>
      </c>
      <c r="H40" s="63">
        <f>E40/1000*D40*1000</f>
        <v>3.24</v>
      </c>
      <c r="I40" s="63">
        <f>E40/1000*F40/1000*G40/1000*D40*1000</f>
        <v>6.48</v>
      </c>
      <c r="J40" s="63">
        <f>Головна!F2*I40*L40</f>
        <v>1238.328</v>
      </c>
      <c r="K40" s="63">
        <f>J40/2</f>
        <v>619.164</v>
      </c>
      <c r="L40" s="58">
        <v>6.5</v>
      </c>
    </row>
    <row r="41" spans="1:12" ht="15">
      <c r="A41" s="62" t="s">
        <v>76</v>
      </c>
      <c r="B41" s="62" t="s">
        <v>283</v>
      </c>
      <c r="C41" s="62" t="s">
        <v>329</v>
      </c>
      <c r="D41" s="62">
        <v>1.08</v>
      </c>
      <c r="E41" s="62">
        <v>3</v>
      </c>
      <c r="F41" s="62">
        <v>2000</v>
      </c>
      <c r="G41" s="62">
        <v>3000</v>
      </c>
      <c r="H41" s="63">
        <f>E41/1000*D41*1000</f>
        <v>3.24</v>
      </c>
      <c r="I41" s="63">
        <f>E41/1000*F41/1000*G41/1000*D41*1000</f>
        <v>19.439999999999998</v>
      </c>
      <c r="J41" s="63">
        <f>Головна!F2*I41*L41</f>
        <v>3714.9839999999995</v>
      </c>
      <c r="K41" s="63">
        <f>J41/2</f>
        <v>1857.4919999999997</v>
      </c>
      <c r="L41" s="58">
        <v>6.5</v>
      </c>
    </row>
    <row r="42" spans="1:12" ht="15">
      <c r="A42" s="62" t="s">
        <v>76</v>
      </c>
      <c r="B42" s="62" t="s">
        <v>283</v>
      </c>
      <c r="C42" s="62" t="s">
        <v>329</v>
      </c>
      <c r="D42" s="62">
        <v>1.08</v>
      </c>
      <c r="E42" s="62">
        <v>4</v>
      </c>
      <c r="F42" s="62">
        <v>1000</v>
      </c>
      <c r="G42" s="62">
        <v>2000</v>
      </c>
      <c r="H42" s="63">
        <f>E42/1000*D42*1000</f>
        <v>4.32</v>
      </c>
      <c r="I42" s="63">
        <f>E42/1000*F42/1000*G42/1000*D42*1000</f>
        <v>8.64</v>
      </c>
      <c r="J42" s="63">
        <f>Головна!F2*I42*L42</f>
        <v>1651.104</v>
      </c>
      <c r="K42" s="63">
        <f>J42/2</f>
        <v>825.552</v>
      </c>
      <c r="L42" s="58">
        <v>6.5</v>
      </c>
    </row>
    <row r="43" spans="1:12" ht="15">
      <c r="A43" s="66" t="s">
        <v>76</v>
      </c>
      <c r="B43" s="66" t="s">
        <v>283</v>
      </c>
      <c r="C43" s="66" t="s">
        <v>329</v>
      </c>
      <c r="D43" s="66">
        <v>1.08</v>
      </c>
      <c r="E43" s="66">
        <v>5</v>
      </c>
      <c r="F43" s="66">
        <v>1000</v>
      </c>
      <c r="G43" s="66">
        <v>2000</v>
      </c>
      <c r="H43" s="67">
        <f>E43/1000*D43*1000</f>
        <v>5.4</v>
      </c>
      <c r="I43" s="67">
        <f>E43/1000*F43/1000*G43/1000*D43*1000</f>
        <v>10.8</v>
      </c>
      <c r="J43" s="67">
        <f>Головна!F2*I43*L43</f>
        <v>2063.88</v>
      </c>
      <c r="K43" s="67">
        <f>J43/2</f>
        <v>1031.94</v>
      </c>
      <c r="L43" s="58">
        <v>6.5</v>
      </c>
    </row>
    <row r="44" spans="1:12" ht="15">
      <c r="A44" s="49"/>
      <c r="B44" s="49"/>
      <c r="C44" s="49"/>
      <c r="D44" s="49"/>
      <c r="E44" s="49"/>
      <c r="F44" s="49"/>
      <c r="G44" s="49"/>
      <c r="H44" s="50"/>
      <c r="I44" s="50"/>
      <c r="J44" s="50"/>
      <c r="K44" s="50"/>
      <c r="L44" s="34" t="s">
        <v>226</v>
      </c>
    </row>
    <row r="45" spans="1:12" ht="15">
      <c r="A45" s="49"/>
      <c r="B45" s="49"/>
      <c r="C45" s="49"/>
      <c r="D45" s="49"/>
      <c r="E45" s="49"/>
      <c r="F45" s="49"/>
      <c r="G45" s="49"/>
      <c r="H45" s="50"/>
      <c r="I45" s="50"/>
      <c r="J45" s="50"/>
      <c r="K45" s="50"/>
      <c r="L45" s="34"/>
    </row>
    <row r="46" spans="1:11" ht="15" customHeight="1">
      <c r="A46" s="409" t="s">
        <v>331</v>
      </c>
      <c r="B46" s="409"/>
      <c r="C46" s="409"/>
      <c r="D46" s="409"/>
      <c r="E46" s="409"/>
      <c r="F46" s="409"/>
      <c r="G46" s="409"/>
      <c r="H46" s="409"/>
      <c r="I46" s="409"/>
      <c r="J46" s="409"/>
      <c r="K46" s="409"/>
    </row>
    <row r="47" spans="1:11" ht="15">
      <c r="A47" s="409"/>
      <c r="B47" s="409"/>
      <c r="C47" s="409"/>
      <c r="D47" s="409"/>
      <c r="E47" s="409"/>
      <c r="F47" s="409"/>
      <c r="G47" s="409"/>
      <c r="H47" s="409"/>
      <c r="I47" s="409"/>
      <c r="J47" s="409"/>
      <c r="K47" s="409"/>
    </row>
    <row r="48" spans="1:11" ht="12.75" customHeight="1">
      <c r="A48" s="409"/>
      <c r="B48" s="409"/>
      <c r="C48" s="409"/>
      <c r="D48" s="409"/>
      <c r="E48" s="409"/>
      <c r="F48" s="409"/>
      <c r="G48" s="409"/>
      <c r="H48" s="409"/>
      <c r="I48" s="409"/>
      <c r="J48" s="409"/>
      <c r="K48" s="409"/>
    </row>
    <row r="49" spans="1:11" ht="15">
      <c r="A49" s="409"/>
      <c r="B49" s="409"/>
      <c r="C49" s="409"/>
      <c r="D49" s="409"/>
      <c r="E49" s="409"/>
      <c r="F49" s="409"/>
      <c r="G49" s="409"/>
      <c r="H49" s="409"/>
      <c r="I49" s="409"/>
      <c r="J49" s="409"/>
      <c r="K49" s="409"/>
    </row>
    <row r="51" ht="15">
      <c r="A51" s="11" t="str">
        <f>Головна!A32</f>
        <v>Всі ціни вказані станом на 05.07.2019 р.</v>
      </c>
    </row>
  </sheetData>
  <sheetProtection selectLockedCells="1" selectUnlockedCells="1"/>
  <mergeCells count="18">
    <mergeCell ref="A46:K49"/>
    <mergeCell ref="A34:C34"/>
    <mergeCell ref="G34:I38"/>
    <mergeCell ref="J34:K38"/>
    <mergeCell ref="A35:E35"/>
    <mergeCell ref="A36:C36"/>
    <mergeCell ref="A11:K11"/>
    <mergeCell ref="A23:C23"/>
    <mergeCell ref="H23:I27"/>
    <mergeCell ref="J23:K27"/>
    <mergeCell ref="A24:E24"/>
    <mergeCell ref="A25:C25"/>
    <mergeCell ref="A1:K2"/>
    <mergeCell ref="A3:K3"/>
    <mergeCell ref="A4:K4"/>
    <mergeCell ref="A6:G6"/>
    <mergeCell ref="H6:I8"/>
    <mergeCell ref="J6:K8"/>
  </mergeCells>
  <hyperlinks>
    <hyperlink ref="A8" r:id="rId1" display="http://www.plastics.ua/industrial/АБС"/>
    <hyperlink ref="A27" r:id="rId2" display="http://www.plastics.ua/industrial/ПММА-АБС"/>
    <hyperlink ref="A38" r:id="rId3" display="http://www.plastics.ua/industrial/ПММА-АБС"/>
    <hyperlink ref="L44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66" r:id="rId5"/>
  <rowBreaks count="1" manualBreakCount="1">
    <brk id="21" max="255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R76"/>
  <sheetViews>
    <sheetView zoomScale="75" zoomScaleNormal="75" zoomScalePageLayoutView="0" workbookViewId="0" topLeftCell="A1">
      <pane ySplit="3" topLeftCell="A21" activePane="bottomLeft" state="frozen"/>
      <selection pane="topLeft" activeCell="A1" sqref="A1"/>
      <selection pane="bottomLeft" activeCell="R39" sqref="R39"/>
    </sheetView>
  </sheetViews>
  <sheetFormatPr defaultColWidth="8.7109375" defaultRowHeight="12.75" customHeight="1"/>
  <cols>
    <col min="1" max="1" width="16.7109375" style="12" customWidth="1"/>
    <col min="2" max="2" width="18.57421875" style="12" customWidth="1"/>
    <col min="3" max="3" width="8.00390625" style="12" customWidth="1"/>
    <col min="4" max="4" width="7.00390625" style="12" customWidth="1"/>
    <col min="5" max="5" width="8.8515625" style="12" customWidth="1"/>
    <col min="6" max="6" width="5.8515625" style="12" customWidth="1"/>
    <col min="7" max="7" width="14.8515625" style="12" customWidth="1"/>
    <col min="8" max="8" width="14.140625" style="12" customWidth="1"/>
    <col min="9" max="9" width="15.8515625" style="12" customWidth="1"/>
    <col min="10" max="10" width="15.57421875" style="12" customWidth="1"/>
    <col min="11" max="11" width="10.8515625" style="58" customWidth="1"/>
    <col min="12" max="16384" width="8.7109375" style="12" customWidth="1"/>
  </cols>
  <sheetData>
    <row r="1" spans="1:11" ht="4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s="14" customFormat="1" ht="29.2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30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0" ht="18.75" customHeight="1">
      <c r="A4" s="414" t="s">
        <v>179</v>
      </c>
      <c r="B4" s="414"/>
      <c r="C4" s="414"/>
      <c r="D4" s="414"/>
      <c r="E4" s="414"/>
      <c r="F4" s="414"/>
      <c r="G4" s="414"/>
      <c r="H4" s="414"/>
      <c r="I4" s="414"/>
      <c r="J4" s="414"/>
    </row>
    <row r="5" spans="1:10" ht="27.75" customHeight="1">
      <c r="A5" s="404" t="s">
        <v>77</v>
      </c>
      <c r="B5" s="404"/>
      <c r="C5" s="404"/>
      <c r="D5" s="404"/>
      <c r="E5" s="404"/>
      <c r="F5" s="404"/>
      <c r="G5" s="404"/>
      <c r="H5" s="404"/>
      <c r="I5" s="404"/>
      <c r="J5" s="415"/>
    </row>
    <row r="6" spans="1:10" ht="21.75" customHeight="1">
      <c r="A6" s="408" t="s">
        <v>332</v>
      </c>
      <c r="B6" s="408"/>
      <c r="C6" s="408"/>
      <c r="D6" s="408"/>
      <c r="E6" s="408"/>
      <c r="F6" s="51"/>
      <c r="G6" s="51"/>
      <c r="H6" s="404"/>
      <c r="I6" s="404"/>
      <c r="J6" s="415"/>
    </row>
    <row r="7" spans="1:10" ht="12.75" customHeight="1">
      <c r="A7" s="416" t="s">
        <v>337</v>
      </c>
      <c r="B7" s="416"/>
      <c r="C7" s="416"/>
      <c r="D7" s="416"/>
      <c r="E7" s="416"/>
      <c r="F7" s="416"/>
      <c r="G7" s="416"/>
      <c r="H7" s="404"/>
      <c r="I7" s="404"/>
      <c r="J7" s="415"/>
    </row>
    <row r="8" spans="1:10" ht="12.75" customHeight="1">
      <c r="A8" s="417" t="s">
        <v>180</v>
      </c>
      <c r="B8" s="417"/>
      <c r="C8" s="417"/>
      <c r="D8" s="417"/>
      <c r="E8" s="417"/>
      <c r="F8" s="417"/>
      <c r="G8" s="417"/>
      <c r="H8" s="404"/>
      <c r="I8" s="404"/>
      <c r="J8" s="415"/>
    </row>
    <row r="9" spans="1:10" ht="37.5" customHeight="1">
      <c r="A9" s="75" t="s">
        <v>314</v>
      </c>
      <c r="B9" s="75" t="s">
        <v>315</v>
      </c>
      <c r="C9" s="419" t="s">
        <v>78</v>
      </c>
      <c r="D9" s="419"/>
      <c r="E9" s="419" t="s">
        <v>317</v>
      </c>
      <c r="F9" s="419"/>
      <c r="G9" s="75" t="s">
        <v>328</v>
      </c>
      <c r="H9" s="75" t="s">
        <v>323</v>
      </c>
      <c r="I9" s="75" t="s">
        <v>338</v>
      </c>
      <c r="J9" s="75" t="s">
        <v>322</v>
      </c>
    </row>
    <row r="10" spans="1:10" ht="33.75" customHeight="1">
      <c r="A10" s="420" t="s">
        <v>343</v>
      </c>
      <c r="B10" s="420"/>
      <c r="C10" s="420"/>
      <c r="D10" s="420"/>
      <c r="E10" s="420"/>
      <c r="F10" s="420"/>
      <c r="G10" s="420"/>
      <c r="H10" s="420"/>
      <c r="I10" s="397" t="s">
        <v>269</v>
      </c>
      <c r="J10" s="397"/>
    </row>
    <row r="11" spans="1:11" ht="15" customHeight="1">
      <c r="A11" s="26">
        <v>0.92</v>
      </c>
      <c r="B11" s="76">
        <v>1</v>
      </c>
      <c r="C11" s="413">
        <v>1500</v>
      </c>
      <c r="D11" s="413"/>
      <c r="E11" s="413">
        <v>3000</v>
      </c>
      <c r="F11" s="413"/>
      <c r="G11" s="26">
        <f aca="true" t="shared" si="0" ref="G11:G24">B11/1000*A11*1000</f>
        <v>0.92</v>
      </c>
      <c r="H11" s="26">
        <f aca="true" t="shared" si="1" ref="H11:H24">B11/1000*C11/1000*E11/1000*A11*1000</f>
        <v>4.14</v>
      </c>
      <c r="I11" s="26">
        <f aca="true" t="shared" si="2" ref="I11:I24">K11*A11*B11*(C11/1000)*(E11/1000)</f>
        <v>741.25044</v>
      </c>
      <c r="J11" s="26">
        <f aca="true" t="shared" si="3" ref="J11:J24">I11/((C11/1000)*(E11/1000))</f>
        <v>164.72232</v>
      </c>
      <c r="K11" s="58">
        <f>Головна!F2*6.09</f>
        <v>179.046</v>
      </c>
    </row>
    <row r="12" spans="1:11" ht="15.75" customHeight="1">
      <c r="A12" s="77">
        <v>0.92</v>
      </c>
      <c r="B12" s="78">
        <v>2</v>
      </c>
      <c r="C12" s="418">
        <v>1500</v>
      </c>
      <c r="D12" s="418"/>
      <c r="E12" s="418">
        <v>3000</v>
      </c>
      <c r="F12" s="418"/>
      <c r="G12" s="77">
        <f t="shared" si="0"/>
        <v>1.84</v>
      </c>
      <c r="H12" s="77">
        <f t="shared" si="1"/>
        <v>8.28</v>
      </c>
      <c r="I12" s="77">
        <f t="shared" si="2"/>
        <v>1207.4227199999998</v>
      </c>
      <c r="J12" s="77">
        <f t="shared" si="3"/>
        <v>268.31615999999997</v>
      </c>
      <c r="K12" s="58">
        <f>Головна!F2*4.96</f>
        <v>145.82399999999998</v>
      </c>
    </row>
    <row r="13" spans="1:11" ht="15.75" customHeight="1">
      <c r="A13" s="77">
        <v>0.92</v>
      </c>
      <c r="B13" s="78">
        <v>3</v>
      </c>
      <c r="C13" s="418">
        <v>1500</v>
      </c>
      <c r="D13" s="418"/>
      <c r="E13" s="418">
        <v>3000</v>
      </c>
      <c r="F13" s="418"/>
      <c r="G13" s="77">
        <f t="shared" si="0"/>
        <v>2.7600000000000002</v>
      </c>
      <c r="H13" s="77">
        <f t="shared" si="1"/>
        <v>12.419999999999998</v>
      </c>
      <c r="I13" s="77">
        <f t="shared" si="2"/>
        <v>1551.8789999999997</v>
      </c>
      <c r="J13" s="77">
        <f t="shared" si="3"/>
        <v>344.8619999999999</v>
      </c>
      <c r="K13" s="58">
        <f>Головна!F$2*4.25</f>
        <v>124.94999999999999</v>
      </c>
    </row>
    <row r="14" spans="1:11" ht="15.75" customHeight="1">
      <c r="A14" s="77">
        <v>0.92</v>
      </c>
      <c r="B14" s="78">
        <v>4</v>
      </c>
      <c r="C14" s="418">
        <v>1500</v>
      </c>
      <c r="D14" s="418"/>
      <c r="E14" s="418">
        <v>3000</v>
      </c>
      <c r="F14" s="418"/>
      <c r="G14" s="77">
        <f t="shared" si="0"/>
        <v>3.68</v>
      </c>
      <c r="H14" s="77">
        <f t="shared" si="1"/>
        <v>16.56</v>
      </c>
      <c r="I14" s="77">
        <f t="shared" si="2"/>
        <v>2069.1719999999996</v>
      </c>
      <c r="J14" s="77">
        <f t="shared" si="3"/>
        <v>459.8159999999999</v>
      </c>
      <c r="K14" s="58">
        <f>Головна!F$2*4.25</f>
        <v>124.94999999999999</v>
      </c>
    </row>
    <row r="15" spans="1:11" ht="15.75" customHeight="1">
      <c r="A15" s="77">
        <v>0.92</v>
      </c>
      <c r="B15" s="78">
        <v>5</v>
      </c>
      <c r="C15" s="418">
        <v>1500</v>
      </c>
      <c r="D15" s="418"/>
      <c r="E15" s="418">
        <v>3000</v>
      </c>
      <c r="F15" s="418"/>
      <c r="G15" s="77">
        <f t="shared" si="0"/>
        <v>4.6</v>
      </c>
      <c r="H15" s="77">
        <f t="shared" si="1"/>
        <v>20.7</v>
      </c>
      <c r="I15" s="77">
        <f t="shared" si="2"/>
        <v>2586.465</v>
      </c>
      <c r="J15" s="77">
        <f t="shared" si="3"/>
        <v>574.77</v>
      </c>
      <c r="K15" s="58">
        <f>Головна!F$2*4.25</f>
        <v>124.94999999999999</v>
      </c>
    </row>
    <row r="16" spans="1:11" ht="15.75" customHeight="1">
      <c r="A16" s="92">
        <v>0.92</v>
      </c>
      <c r="B16" s="91">
        <v>5</v>
      </c>
      <c r="C16" s="421">
        <v>2000</v>
      </c>
      <c r="D16" s="421"/>
      <c r="E16" s="421">
        <v>4000</v>
      </c>
      <c r="F16" s="421"/>
      <c r="G16" s="92">
        <f>B16/1000*A16*1000</f>
        <v>4.6</v>
      </c>
      <c r="H16" s="92">
        <f>B16/1000*C16/1000*E16/1000*A16*1000</f>
        <v>36.8</v>
      </c>
      <c r="I16" s="92">
        <f>K16*A16*B16*(C16/1000)*(E16/1000)</f>
        <v>4598.16</v>
      </c>
      <c r="J16" s="92">
        <f>I16/((C16/1000)*(E16/1000))</f>
        <v>574.77</v>
      </c>
      <c r="K16" s="58">
        <f>Головна!F$2*4.25</f>
        <v>124.94999999999999</v>
      </c>
    </row>
    <row r="17" spans="1:11" ht="15" customHeight="1">
      <c r="A17" s="77">
        <v>0.92</v>
      </c>
      <c r="B17" s="78">
        <v>6</v>
      </c>
      <c r="C17" s="418">
        <v>1500</v>
      </c>
      <c r="D17" s="418"/>
      <c r="E17" s="418">
        <v>3000</v>
      </c>
      <c r="F17" s="418"/>
      <c r="G17" s="77">
        <f t="shared" si="0"/>
        <v>5.5200000000000005</v>
      </c>
      <c r="H17" s="77">
        <f t="shared" si="1"/>
        <v>24.839999999999996</v>
      </c>
      <c r="I17" s="77">
        <f t="shared" si="2"/>
        <v>3103.7579999999994</v>
      </c>
      <c r="J17" s="77">
        <f t="shared" si="3"/>
        <v>689.7239999999998</v>
      </c>
      <c r="K17" s="58">
        <f>Головна!F$2*4.25</f>
        <v>124.94999999999999</v>
      </c>
    </row>
    <row r="18" spans="1:11" ht="15.75" customHeight="1">
      <c r="A18" s="77">
        <v>0.92</v>
      </c>
      <c r="B18" s="78">
        <v>8</v>
      </c>
      <c r="C18" s="418">
        <v>1500</v>
      </c>
      <c r="D18" s="418"/>
      <c r="E18" s="418">
        <v>3000</v>
      </c>
      <c r="F18" s="418"/>
      <c r="G18" s="77">
        <f t="shared" si="0"/>
        <v>7.36</v>
      </c>
      <c r="H18" s="77">
        <f t="shared" si="1"/>
        <v>33.12</v>
      </c>
      <c r="I18" s="77">
        <f t="shared" si="2"/>
        <v>4138.343999999999</v>
      </c>
      <c r="J18" s="77">
        <f t="shared" si="3"/>
        <v>919.6319999999998</v>
      </c>
      <c r="K18" s="58">
        <f>Головна!F$2*4.25</f>
        <v>124.94999999999999</v>
      </c>
    </row>
    <row r="19" spans="1:16" ht="15.75" customHeight="1">
      <c r="A19" s="77">
        <v>0.92</v>
      </c>
      <c r="B19" s="78">
        <v>10</v>
      </c>
      <c r="C19" s="418">
        <v>1500</v>
      </c>
      <c r="D19" s="418"/>
      <c r="E19" s="418">
        <v>3000</v>
      </c>
      <c r="F19" s="418"/>
      <c r="G19" s="77">
        <f t="shared" si="0"/>
        <v>9.2</v>
      </c>
      <c r="H19" s="77">
        <f t="shared" si="1"/>
        <v>41.4</v>
      </c>
      <c r="I19" s="77">
        <f t="shared" si="2"/>
        <v>5172.93</v>
      </c>
      <c r="J19" s="77">
        <f t="shared" si="3"/>
        <v>1149.54</v>
      </c>
      <c r="K19" s="58">
        <f>Головна!F$2*4.25</f>
        <v>124.94999999999999</v>
      </c>
      <c r="P19" s="79"/>
    </row>
    <row r="20" spans="1:11" ht="15.75" customHeight="1">
      <c r="A20" s="77">
        <v>0.92</v>
      </c>
      <c r="B20" s="78">
        <v>12</v>
      </c>
      <c r="C20" s="418">
        <v>1500</v>
      </c>
      <c r="D20" s="418"/>
      <c r="E20" s="418">
        <v>3000</v>
      </c>
      <c r="F20" s="418"/>
      <c r="G20" s="77">
        <f t="shared" si="0"/>
        <v>11.040000000000001</v>
      </c>
      <c r="H20" s="77">
        <f t="shared" si="1"/>
        <v>49.67999999999999</v>
      </c>
      <c r="I20" s="77">
        <f t="shared" si="2"/>
        <v>6207.515999999999</v>
      </c>
      <c r="J20" s="77">
        <f t="shared" si="3"/>
        <v>1379.4479999999996</v>
      </c>
      <c r="K20" s="58">
        <f>Головна!F$2*4.25</f>
        <v>124.94999999999999</v>
      </c>
    </row>
    <row r="21" spans="1:11" ht="15.75" customHeight="1">
      <c r="A21" s="77">
        <v>0.92</v>
      </c>
      <c r="B21" s="78">
        <v>15</v>
      </c>
      <c r="C21" s="418">
        <v>1500</v>
      </c>
      <c r="D21" s="418"/>
      <c r="E21" s="418">
        <v>3000</v>
      </c>
      <c r="F21" s="418"/>
      <c r="G21" s="77">
        <f t="shared" si="0"/>
        <v>13.799999999999999</v>
      </c>
      <c r="H21" s="77">
        <f t="shared" si="1"/>
        <v>62.10000000000001</v>
      </c>
      <c r="I21" s="77">
        <f t="shared" si="2"/>
        <v>7759.395</v>
      </c>
      <c r="J21" s="77">
        <f t="shared" si="3"/>
        <v>1724.3100000000002</v>
      </c>
      <c r="K21" s="58">
        <f>Головна!F$2*4.25</f>
        <v>124.94999999999999</v>
      </c>
    </row>
    <row r="22" spans="1:11" ht="15.75" customHeight="1">
      <c r="A22" s="77">
        <v>0.92</v>
      </c>
      <c r="B22" s="78">
        <v>20</v>
      </c>
      <c r="C22" s="418">
        <v>1500</v>
      </c>
      <c r="D22" s="418"/>
      <c r="E22" s="418">
        <v>3000</v>
      </c>
      <c r="F22" s="418"/>
      <c r="G22" s="77">
        <f t="shared" si="0"/>
        <v>18.4</v>
      </c>
      <c r="H22" s="77">
        <f t="shared" si="1"/>
        <v>82.8</v>
      </c>
      <c r="I22" s="77">
        <f t="shared" si="2"/>
        <v>10345.86</v>
      </c>
      <c r="J22" s="77">
        <f t="shared" si="3"/>
        <v>2299.08</v>
      </c>
      <c r="K22" s="58">
        <f>Головна!F$2*4.25</f>
        <v>124.94999999999999</v>
      </c>
    </row>
    <row r="23" spans="1:18" ht="15" customHeight="1">
      <c r="A23" s="30">
        <v>0.92</v>
      </c>
      <c r="B23" s="80">
        <v>25</v>
      </c>
      <c r="C23" s="423">
        <v>1500</v>
      </c>
      <c r="D23" s="423"/>
      <c r="E23" s="423">
        <v>3000</v>
      </c>
      <c r="F23" s="423"/>
      <c r="G23" s="30">
        <f t="shared" si="0"/>
        <v>23.000000000000004</v>
      </c>
      <c r="H23" s="30">
        <f t="shared" si="1"/>
        <v>103.50000000000001</v>
      </c>
      <c r="I23" s="30">
        <f t="shared" si="2"/>
        <v>14453.775000000001</v>
      </c>
      <c r="J23" s="30">
        <f t="shared" si="3"/>
        <v>3211.9500000000003</v>
      </c>
      <c r="K23" s="58">
        <f>Головна!F2*4.75</f>
        <v>139.65</v>
      </c>
      <c r="R23" s="81" t="s">
        <v>79</v>
      </c>
    </row>
    <row r="24" spans="1:11" ht="15.75" customHeight="1">
      <c r="A24" s="37">
        <v>0.92</v>
      </c>
      <c r="B24" s="82">
        <v>30</v>
      </c>
      <c r="C24" s="424">
        <v>1500</v>
      </c>
      <c r="D24" s="424"/>
      <c r="E24" s="424">
        <v>3000</v>
      </c>
      <c r="F24" s="424"/>
      <c r="G24" s="37">
        <f t="shared" si="0"/>
        <v>27.599999999999998</v>
      </c>
      <c r="H24" s="37">
        <f t="shared" si="1"/>
        <v>124.20000000000002</v>
      </c>
      <c r="I24" s="30">
        <f t="shared" si="2"/>
        <v>17344.53</v>
      </c>
      <c r="J24" s="30">
        <f t="shared" si="3"/>
        <v>3854.3399999999997</v>
      </c>
      <c r="K24" s="58">
        <f>Головна!F2*4.75</f>
        <v>139.65</v>
      </c>
    </row>
    <row r="25" spans="1:10" ht="13.5" customHeight="1">
      <c r="A25" s="425" t="s">
        <v>344</v>
      </c>
      <c r="B25" s="425"/>
      <c r="C25" s="425"/>
      <c r="D25" s="425"/>
      <c r="E25" s="425"/>
      <c r="F25" s="425"/>
      <c r="G25" s="425"/>
      <c r="H25" s="425"/>
      <c r="I25" s="425"/>
      <c r="J25" s="425"/>
    </row>
    <row r="26" spans="1:11" ht="34.5" customHeight="1">
      <c r="A26" s="426" t="s">
        <v>348</v>
      </c>
      <c r="B26" s="426"/>
      <c r="C26" s="426"/>
      <c r="D26" s="426"/>
      <c r="E26" s="426"/>
      <c r="F26" s="426"/>
      <c r="G26" s="426"/>
      <c r="H26" s="426"/>
      <c r="I26" s="397" t="s">
        <v>269</v>
      </c>
      <c r="J26" s="397"/>
      <c r="K26" s="34" t="s">
        <v>226</v>
      </c>
    </row>
    <row r="27" spans="1:11" ht="15" customHeight="1">
      <c r="A27" s="42">
        <v>0.92</v>
      </c>
      <c r="B27" s="83">
        <v>4</v>
      </c>
      <c r="C27" s="422">
        <v>1500</v>
      </c>
      <c r="D27" s="422"/>
      <c r="E27" s="422">
        <v>3000</v>
      </c>
      <c r="F27" s="422"/>
      <c r="G27" s="42">
        <f aca="true" t="shared" si="4" ref="G27:G32">B27/1000*A27*1000</f>
        <v>3.68</v>
      </c>
      <c r="H27" s="42">
        <f aca="true" t="shared" si="5" ref="H27:H32">B27/1000*C27/1000*E27/1000*A27*1000</f>
        <v>16.56</v>
      </c>
      <c r="I27" s="26">
        <f aca="true" t="shared" si="6" ref="I27:I32">K27*A27*B27*(C27/1000)*(E27/1000)</f>
        <v>2239.5743999999995</v>
      </c>
      <c r="J27" s="26">
        <f aca="true" t="shared" si="7" ref="J27:J32">I27/((C27/1000)*(E27/1000))</f>
        <v>497.6831999999999</v>
      </c>
      <c r="K27" s="58">
        <f>Головна!F2*4.6</f>
        <v>135.23999999999998</v>
      </c>
    </row>
    <row r="28" spans="1:11" ht="15.75" customHeight="1">
      <c r="A28" s="77">
        <v>0.92</v>
      </c>
      <c r="B28" s="78">
        <v>5</v>
      </c>
      <c r="C28" s="418">
        <v>1500</v>
      </c>
      <c r="D28" s="418"/>
      <c r="E28" s="418">
        <v>4000</v>
      </c>
      <c r="F28" s="418"/>
      <c r="G28" s="77">
        <f t="shared" si="4"/>
        <v>4.6</v>
      </c>
      <c r="H28" s="77">
        <f t="shared" si="5"/>
        <v>27.599999999999998</v>
      </c>
      <c r="I28" s="77">
        <f t="shared" si="6"/>
        <v>3732.624</v>
      </c>
      <c r="J28" s="77">
        <f t="shared" si="7"/>
        <v>622.1039999999999</v>
      </c>
      <c r="K28" s="58">
        <f>Головна!F2*4.6</f>
        <v>135.23999999999998</v>
      </c>
    </row>
    <row r="29" spans="1:11" ht="15.75" customHeight="1">
      <c r="A29" s="77">
        <v>0.92</v>
      </c>
      <c r="B29" s="78">
        <v>5</v>
      </c>
      <c r="C29" s="418">
        <v>1600</v>
      </c>
      <c r="D29" s="418"/>
      <c r="E29" s="418">
        <v>4000</v>
      </c>
      <c r="F29" s="418"/>
      <c r="G29" s="77">
        <f t="shared" si="4"/>
        <v>4.6</v>
      </c>
      <c r="H29" s="77">
        <f t="shared" si="5"/>
        <v>29.44</v>
      </c>
      <c r="I29" s="77">
        <f t="shared" si="6"/>
        <v>3981.4655999999995</v>
      </c>
      <c r="J29" s="77">
        <f t="shared" si="7"/>
        <v>622.1039999999999</v>
      </c>
      <c r="K29" s="58">
        <f>Головна!F2*4.6</f>
        <v>135.23999999999998</v>
      </c>
    </row>
    <row r="30" spans="1:11" ht="15" customHeight="1">
      <c r="A30" s="84">
        <v>0.92</v>
      </c>
      <c r="B30" s="85">
        <v>6</v>
      </c>
      <c r="C30" s="427">
        <v>1500</v>
      </c>
      <c r="D30" s="427"/>
      <c r="E30" s="427">
        <v>4000</v>
      </c>
      <c r="F30" s="427"/>
      <c r="G30" s="84">
        <f t="shared" si="4"/>
        <v>5.5200000000000005</v>
      </c>
      <c r="H30" s="84">
        <f t="shared" si="5"/>
        <v>33.12</v>
      </c>
      <c r="I30" s="84">
        <f t="shared" si="6"/>
        <v>4479.148799999999</v>
      </c>
      <c r="J30" s="84">
        <f t="shared" si="7"/>
        <v>746.5247999999998</v>
      </c>
      <c r="K30" s="58">
        <f>Головна!F2*4.6</f>
        <v>135.23999999999998</v>
      </c>
    </row>
    <row r="31" spans="1:11" ht="15" customHeight="1">
      <c r="A31" s="30">
        <v>0.92</v>
      </c>
      <c r="B31" s="80">
        <v>8</v>
      </c>
      <c r="C31" s="423">
        <v>1500</v>
      </c>
      <c r="D31" s="423"/>
      <c r="E31" s="423">
        <v>3000</v>
      </c>
      <c r="F31" s="423"/>
      <c r="G31" s="30">
        <f t="shared" si="4"/>
        <v>7.36</v>
      </c>
      <c r="H31" s="30">
        <f t="shared" si="5"/>
        <v>33.12</v>
      </c>
      <c r="I31" s="30">
        <f t="shared" si="6"/>
        <v>4479.148799999999</v>
      </c>
      <c r="J31" s="30">
        <f t="shared" si="7"/>
        <v>995.3663999999998</v>
      </c>
      <c r="K31" s="58">
        <f>Головна!F2*4.6</f>
        <v>135.23999999999998</v>
      </c>
    </row>
    <row r="32" spans="1:11" ht="15.75" customHeight="1">
      <c r="A32" s="30">
        <v>0.92</v>
      </c>
      <c r="B32" s="80">
        <v>10</v>
      </c>
      <c r="C32" s="423">
        <v>1500</v>
      </c>
      <c r="D32" s="423"/>
      <c r="E32" s="423">
        <v>4000</v>
      </c>
      <c r="F32" s="423"/>
      <c r="G32" s="30">
        <f t="shared" si="4"/>
        <v>9.2</v>
      </c>
      <c r="H32" s="30">
        <f t="shared" si="5"/>
        <v>55.199999999999996</v>
      </c>
      <c r="I32" s="33">
        <f t="shared" si="6"/>
        <v>7465.248</v>
      </c>
      <c r="J32" s="33">
        <f t="shared" si="7"/>
        <v>1244.2079999999999</v>
      </c>
      <c r="K32" s="58">
        <f>Головна!F2*4.6</f>
        <v>135.23999999999998</v>
      </c>
    </row>
    <row r="33" spans="1:11" ht="36" customHeight="1">
      <c r="A33" s="426" t="s">
        <v>349</v>
      </c>
      <c r="B33" s="426"/>
      <c r="C33" s="426"/>
      <c r="D33" s="426"/>
      <c r="E33" s="426"/>
      <c r="F33" s="426"/>
      <c r="G33" s="426"/>
      <c r="H33" s="426"/>
      <c r="I33" s="397" t="s">
        <v>269</v>
      </c>
      <c r="J33" s="397"/>
      <c r="K33" s="34" t="s">
        <v>226</v>
      </c>
    </row>
    <row r="34" spans="1:11" ht="15.75" customHeight="1">
      <c r="A34" s="365">
        <v>0.92</v>
      </c>
      <c r="B34" s="342">
        <v>5</v>
      </c>
      <c r="C34" s="428">
        <v>1500</v>
      </c>
      <c r="D34" s="428"/>
      <c r="E34" s="428">
        <v>15500</v>
      </c>
      <c r="F34" s="428"/>
      <c r="G34" s="365">
        <f aca="true" t="shared" si="8" ref="G34:G45">B34/1000*A34*1000</f>
        <v>4.6</v>
      </c>
      <c r="H34" s="365">
        <f aca="true" t="shared" si="9" ref="H34:H45">B34/1000*C34/1000*E34/1000*A34*1000</f>
        <v>106.95</v>
      </c>
      <c r="I34" s="366">
        <f aca="true" t="shared" si="10" ref="I34:I45">K34*A34*B34*(C34/1000)*(E34/1000)</f>
        <v>14463.918</v>
      </c>
      <c r="J34" s="366">
        <f aca="true" t="shared" si="11" ref="J34:J45">I34/((C34/1000)*(E34/1000))</f>
        <v>622.104</v>
      </c>
      <c r="K34" s="58">
        <f>Головна!F$2*4.6</f>
        <v>135.23999999999998</v>
      </c>
    </row>
    <row r="35" spans="1:11" ht="15.75" customHeight="1">
      <c r="A35" s="365">
        <v>0.92</v>
      </c>
      <c r="B35" s="342">
        <v>5</v>
      </c>
      <c r="C35" s="428">
        <v>1500</v>
      </c>
      <c r="D35" s="428"/>
      <c r="E35" s="428">
        <v>22000</v>
      </c>
      <c r="F35" s="428"/>
      <c r="G35" s="365">
        <f t="shared" si="8"/>
        <v>4.6</v>
      </c>
      <c r="H35" s="365">
        <f t="shared" si="9"/>
        <v>151.8</v>
      </c>
      <c r="I35" s="365">
        <f t="shared" si="10"/>
        <v>20529.432</v>
      </c>
      <c r="J35" s="365">
        <f t="shared" si="11"/>
        <v>622.104</v>
      </c>
      <c r="K35" s="58">
        <f>Головна!F$2*4.6</f>
        <v>135.23999999999998</v>
      </c>
    </row>
    <row r="36" spans="1:11" ht="15" customHeight="1">
      <c r="A36" s="30">
        <v>0.92</v>
      </c>
      <c r="B36" s="80">
        <v>5</v>
      </c>
      <c r="C36" s="423">
        <v>1500</v>
      </c>
      <c r="D36" s="423"/>
      <c r="E36" s="423">
        <v>25000</v>
      </c>
      <c r="F36" s="423"/>
      <c r="G36" s="30">
        <f t="shared" si="8"/>
        <v>4.6</v>
      </c>
      <c r="H36" s="30">
        <f t="shared" si="9"/>
        <v>172.50000000000003</v>
      </c>
      <c r="I36" s="30">
        <f t="shared" si="10"/>
        <v>23328.899999999998</v>
      </c>
      <c r="J36" s="30">
        <f t="shared" si="11"/>
        <v>622.1039999999999</v>
      </c>
      <c r="K36" s="58">
        <f>Головна!F$2*4.6</f>
        <v>135.23999999999998</v>
      </c>
    </row>
    <row r="37" spans="1:11" ht="15" customHeight="1">
      <c r="A37" s="365">
        <v>0.92</v>
      </c>
      <c r="B37" s="342">
        <v>5</v>
      </c>
      <c r="C37" s="428">
        <v>1500</v>
      </c>
      <c r="D37" s="428"/>
      <c r="E37" s="428">
        <v>30000</v>
      </c>
      <c r="F37" s="428"/>
      <c r="G37" s="365">
        <f t="shared" si="8"/>
        <v>4.6</v>
      </c>
      <c r="H37" s="365">
        <f t="shared" si="9"/>
        <v>207.00000000000003</v>
      </c>
      <c r="I37" s="365">
        <f t="shared" si="10"/>
        <v>27994.68</v>
      </c>
      <c r="J37" s="365">
        <f t="shared" si="11"/>
        <v>622.104</v>
      </c>
      <c r="K37" s="58">
        <f>Головна!F$2*4.6</f>
        <v>135.23999999999998</v>
      </c>
    </row>
    <row r="38" spans="1:11" ht="15" customHeight="1">
      <c r="A38" s="30">
        <v>0.92</v>
      </c>
      <c r="B38" s="80">
        <v>5</v>
      </c>
      <c r="C38" s="423">
        <v>1500</v>
      </c>
      <c r="D38" s="423"/>
      <c r="E38" s="423">
        <v>31000</v>
      </c>
      <c r="F38" s="423"/>
      <c r="G38" s="30">
        <f t="shared" si="8"/>
        <v>4.6</v>
      </c>
      <c r="H38" s="30">
        <f t="shared" si="9"/>
        <v>213.9</v>
      </c>
      <c r="I38" s="30">
        <f t="shared" si="10"/>
        <v>28927.836</v>
      </c>
      <c r="J38" s="30">
        <f t="shared" si="11"/>
        <v>622.104</v>
      </c>
      <c r="K38" s="58">
        <f>Головна!F$2*4.6</f>
        <v>135.23999999999998</v>
      </c>
    </row>
    <row r="39" spans="1:11" ht="15" customHeight="1">
      <c r="A39" s="30">
        <v>0.92</v>
      </c>
      <c r="B39" s="80">
        <v>5</v>
      </c>
      <c r="C39" s="423">
        <v>1600</v>
      </c>
      <c r="D39" s="423"/>
      <c r="E39" s="423">
        <v>15500</v>
      </c>
      <c r="F39" s="423"/>
      <c r="G39" s="30">
        <f t="shared" si="8"/>
        <v>4.6</v>
      </c>
      <c r="H39" s="30">
        <f t="shared" si="9"/>
        <v>114.08</v>
      </c>
      <c r="I39" s="30">
        <f t="shared" si="10"/>
        <v>15428.179199999999</v>
      </c>
      <c r="J39" s="30">
        <f t="shared" si="11"/>
        <v>622.1039999999999</v>
      </c>
      <c r="K39" s="58">
        <f>Головна!F$2*4.6</f>
        <v>135.23999999999998</v>
      </c>
    </row>
    <row r="40" spans="1:11" ht="15.75" customHeight="1">
      <c r="A40" s="77">
        <v>0.92</v>
      </c>
      <c r="B40" s="78">
        <v>5</v>
      </c>
      <c r="C40" s="418">
        <v>1600</v>
      </c>
      <c r="D40" s="418"/>
      <c r="E40" s="418">
        <v>25000</v>
      </c>
      <c r="F40" s="418"/>
      <c r="G40" s="77">
        <f t="shared" si="8"/>
        <v>4.6</v>
      </c>
      <c r="H40" s="77">
        <f t="shared" si="9"/>
        <v>184.00000000000003</v>
      </c>
      <c r="I40" s="77">
        <f t="shared" si="10"/>
        <v>24884.159999999996</v>
      </c>
      <c r="J40" s="77">
        <f t="shared" si="11"/>
        <v>622.1039999999999</v>
      </c>
      <c r="K40" s="58">
        <f>Головна!F$2*4.6</f>
        <v>135.23999999999998</v>
      </c>
    </row>
    <row r="41" spans="1:11" ht="15.75" customHeight="1">
      <c r="A41" s="77">
        <v>0.92</v>
      </c>
      <c r="B41" s="78">
        <v>5</v>
      </c>
      <c r="C41" s="418">
        <v>1600</v>
      </c>
      <c r="D41" s="418"/>
      <c r="E41" s="418">
        <v>30000</v>
      </c>
      <c r="F41" s="418"/>
      <c r="G41" s="77">
        <f t="shared" si="8"/>
        <v>4.6</v>
      </c>
      <c r="H41" s="77">
        <f t="shared" si="9"/>
        <v>220.79999999999998</v>
      </c>
      <c r="I41" s="77">
        <f t="shared" si="10"/>
        <v>29860.992</v>
      </c>
      <c r="J41" s="77">
        <f t="shared" si="11"/>
        <v>622.1039999999999</v>
      </c>
      <c r="K41" s="58">
        <f>Головна!F$2*4.6</f>
        <v>135.23999999999998</v>
      </c>
    </row>
    <row r="42" spans="1:11" ht="15" customHeight="1">
      <c r="A42" s="84">
        <v>0.92</v>
      </c>
      <c r="B42" s="85">
        <v>5</v>
      </c>
      <c r="C42" s="427">
        <v>1800</v>
      </c>
      <c r="D42" s="427"/>
      <c r="E42" s="427">
        <v>25000</v>
      </c>
      <c r="F42" s="427"/>
      <c r="G42" s="84">
        <f t="shared" si="8"/>
        <v>4.6</v>
      </c>
      <c r="H42" s="84">
        <f t="shared" si="9"/>
        <v>207</v>
      </c>
      <c r="I42" s="87">
        <f t="shared" si="10"/>
        <v>27994.68</v>
      </c>
      <c r="J42" s="87">
        <f t="shared" si="11"/>
        <v>622.104</v>
      </c>
      <c r="K42" s="58">
        <f>Головна!F$2*4.6</f>
        <v>135.23999999999998</v>
      </c>
    </row>
    <row r="43" spans="1:11" ht="15" customHeight="1">
      <c r="A43" s="84">
        <v>0.92</v>
      </c>
      <c r="B43" s="85">
        <v>5</v>
      </c>
      <c r="C43" s="427">
        <v>1800</v>
      </c>
      <c r="D43" s="427"/>
      <c r="E43" s="427">
        <v>30000</v>
      </c>
      <c r="F43" s="427"/>
      <c r="G43" s="84">
        <f t="shared" si="8"/>
        <v>4.6</v>
      </c>
      <c r="H43" s="84">
        <f t="shared" si="9"/>
        <v>248.40000000000003</v>
      </c>
      <c r="I43" s="87">
        <f t="shared" si="10"/>
        <v>33593.616</v>
      </c>
      <c r="J43" s="87">
        <f t="shared" si="11"/>
        <v>622.104</v>
      </c>
      <c r="K43" s="58">
        <f>Головна!F$2*4.6</f>
        <v>135.23999999999998</v>
      </c>
    </row>
    <row r="44" spans="1:11" ht="15" customHeight="1">
      <c r="A44" s="84">
        <v>0.92</v>
      </c>
      <c r="B44" s="85">
        <v>5</v>
      </c>
      <c r="C44" s="427">
        <v>2000</v>
      </c>
      <c r="D44" s="427"/>
      <c r="E44" s="427">
        <v>25000</v>
      </c>
      <c r="F44" s="427"/>
      <c r="G44" s="84">
        <f t="shared" si="8"/>
        <v>4.6</v>
      </c>
      <c r="H44" s="84">
        <f t="shared" si="9"/>
        <v>230</v>
      </c>
      <c r="I44" s="87">
        <f t="shared" si="10"/>
        <v>31105.199999999997</v>
      </c>
      <c r="J44" s="87">
        <f t="shared" si="11"/>
        <v>622.1039999999999</v>
      </c>
      <c r="K44" s="58">
        <f>Головна!F$2*4.6</f>
        <v>135.23999999999998</v>
      </c>
    </row>
    <row r="45" spans="1:11" ht="15.75" customHeight="1">
      <c r="A45" s="88">
        <v>0.92</v>
      </c>
      <c r="B45" s="89">
        <v>5</v>
      </c>
      <c r="C45" s="429">
        <v>2000</v>
      </c>
      <c r="D45" s="429"/>
      <c r="E45" s="429">
        <v>30000</v>
      </c>
      <c r="F45" s="429"/>
      <c r="G45" s="88">
        <f t="shared" si="8"/>
        <v>4.6</v>
      </c>
      <c r="H45" s="88">
        <f t="shared" si="9"/>
        <v>276</v>
      </c>
      <c r="I45" s="87">
        <f t="shared" si="10"/>
        <v>37326.24</v>
      </c>
      <c r="J45" s="87">
        <f t="shared" si="11"/>
        <v>622.1039999999999</v>
      </c>
      <c r="K45" s="58">
        <f>Головна!F$2*4.6</f>
        <v>135.23999999999998</v>
      </c>
    </row>
    <row r="46" spans="1:11" ht="35.25" customHeight="1">
      <c r="A46" s="426" t="s">
        <v>545</v>
      </c>
      <c r="B46" s="426"/>
      <c r="C46" s="426"/>
      <c r="D46" s="426"/>
      <c r="E46" s="426"/>
      <c r="F46" s="426"/>
      <c r="G46" s="426"/>
      <c r="H46" s="426"/>
      <c r="I46" s="397" t="s">
        <v>269</v>
      </c>
      <c r="J46" s="397"/>
      <c r="K46" s="34" t="s">
        <v>226</v>
      </c>
    </row>
    <row r="47" spans="1:11" ht="15.75" customHeight="1">
      <c r="A47" s="77">
        <v>0.92</v>
      </c>
      <c r="B47" s="78">
        <v>8</v>
      </c>
      <c r="C47" s="418">
        <v>1500</v>
      </c>
      <c r="D47" s="418"/>
      <c r="E47" s="418">
        <v>3000</v>
      </c>
      <c r="F47" s="418"/>
      <c r="G47" s="90">
        <f>B47/1000*A47*1000</f>
        <v>7.36</v>
      </c>
      <c r="H47" s="90">
        <f>B47/1000*C47/1000*E47/1000*A47*1000</f>
        <v>33.12</v>
      </c>
      <c r="I47" s="86">
        <f>K47*A47*B47*(C47/1000)*(E47/1000)</f>
        <v>5696.3088</v>
      </c>
      <c r="J47" s="86">
        <f>I47/((C47/1000)*(E47/1000))</f>
        <v>1265.8464</v>
      </c>
      <c r="K47" s="58">
        <f>Головна!F2*5.85</f>
        <v>171.98999999999998</v>
      </c>
    </row>
    <row r="48" spans="1:11" ht="15.75" customHeight="1">
      <c r="A48" s="30">
        <v>0.92</v>
      </c>
      <c r="B48" s="80">
        <v>8</v>
      </c>
      <c r="C48" s="423">
        <v>1500</v>
      </c>
      <c r="D48" s="423"/>
      <c r="E48" s="423">
        <v>4000</v>
      </c>
      <c r="F48" s="423"/>
      <c r="G48" s="37">
        <f>B48/1000*A48*1000</f>
        <v>7.36</v>
      </c>
      <c r="H48" s="37">
        <f>B48/1000*C48/1000*E48/1000*A48*1000</f>
        <v>44.160000000000004</v>
      </c>
      <c r="I48" s="33">
        <f>K48*A48*B48*(C48/1000)*(E48/1000)</f>
        <v>7595.078399999999</v>
      </c>
      <c r="J48" s="33">
        <f>I48/((C48/1000)*(E48/1000))</f>
        <v>1265.8464</v>
      </c>
      <c r="K48" s="58">
        <f>Головна!F2*5.85</f>
        <v>171.98999999999998</v>
      </c>
    </row>
    <row r="49" spans="1:11" ht="33" customHeight="1">
      <c r="A49" s="426" t="s">
        <v>351</v>
      </c>
      <c r="B49" s="426"/>
      <c r="C49" s="426"/>
      <c r="D49" s="426"/>
      <c r="E49" s="426"/>
      <c r="F49" s="426"/>
      <c r="G49" s="426"/>
      <c r="H49" s="426"/>
      <c r="I49" s="397" t="s">
        <v>269</v>
      </c>
      <c r="J49" s="397"/>
      <c r="K49" s="34" t="s">
        <v>226</v>
      </c>
    </row>
    <row r="50" spans="1:11" ht="15" customHeight="1">
      <c r="A50" s="342">
        <v>0.65</v>
      </c>
      <c r="B50" s="342">
        <v>10</v>
      </c>
      <c r="C50" s="428">
        <v>1000</v>
      </c>
      <c r="D50" s="428"/>
      <c r="E50" s="428">
        <v>2000</v>
      </c>
      <c r="F50" s="428"/>
      <c r="G50" s="365">
        <f>B50/1000*A50*1000</f>
        <v>6.500000000000001</v>
      </c>
      <c r="H50" s="365">
        <f>B50/1000*C50/1000*E50/1000*A50*1000</f>
        <v>13.000000000000002</v>
      </c>
      <c r="I50" s="365">
        <f>Головна!F2*(K50*C50/1000*E50/1000)</f>
        <v>2188.5359999999996</v>
      </c>
      <c r="J50" s="365">
        <f>I50/((C50/1000)*(E50/1000))</f>
        <v>1094.2679999999998</v>
      </c>
      <c r="K50" s="58">
        <v>37.22</v>
      </c>
    </row>
    <row r="51" spans="1:11" ht="15.75" customHeight="1">
      <c r="A51" s="341">
        <v>0.65</v>
      </c>
      <c r="B51" s="341">
        <v>12</v>
      </c>
      <c r="C51" s="430">
        <v>2000</v>
      </c>
      <c r="D51" s="430"/>
      <c r="E51" s="430">
        <v>4000</v>
      </c>
      <c r="F51" s="430"/>
      <c r="G51" s="367">
        <f>B51/1000*A51*1000</f>
        <v>7.800000000000001</v>
      </c>
      <c r="H51" s="367">
        <f>B51/1000*C51/1000*E51/1000*A51*1000</f>
        <v>62.400000000000006</v>
      </c>
      <c r="I51" s="365">
        <f>Головна!F2*(K51*C51/1000*E51/1000)</f>
        <v>9760.8</v>
      </c>
      <c r="J51" s="367">
        <f>I51/((C51/1000)*(E51/1000))</f>
        <v>1220.1</v>
      </c>
      <c r="K51" s="58">
        <v>41.5</v>
      </c>
    </row>
    <row r="52" spans="1:11" ht="15.75" customHeight="1">
      <c r="A52" s="78">
        <v>0.65</v>
      </c>
      <c r="B52" s="78">
        <v>15</v>
      </c>
      <c r="C52" s="418">
        <v>1500</v>
      </c>
      <c r="D52" s="418"/>
      <c r="E52" s="418">
        <v>2000</v>
      </c>
      <c r="F52" s="418"/>
      <c r="G52" s="77">
        <f>B52/1000*A52*1000</f>
        <v>9.75</v>
      </c>
      <c r="H52" s="77">
        <f>B52/1000*C52/1000*E52/1000*A52*1000</f>
        <v>29.25</v>
      </c>
      <c r="I52" s="301">
        <f>Головна!F2*(K52*C52/1000*E52/1000)</f>
        <v>4574.052000000001</v>
      </c>
      <c r="J52" s="77">
        <f>I52/((C52/1000)*(E52/1000))</f>
        <v>1524.6840000000002</v>
      </c>
      <c r="K52" s="58">
        <v>51.86</v>
      </c>
    </row>
    <row r="53" spans="1:11" ht="15.75" customHeight="1">
      <c r="A53" s="82">
        <v>0.65</v>
      </c>
      <c r="B53" s="82">
        <v>19</v>
      </c>
      <c r="C53" s="424">
        <v>1000</v>
      </c>
      <c r="D53" s="424"/>
      <c r="E53" s="424">
        <v>2000</v>
      </c>
      <c r="F53" s="424"/>
      <c r="G53" s="37">
        <f>B53/1000*A53*1000</f>
        <v>12.35</v>
      </c>
      <c r="H53" s="37">
        <f>B53/1000*C53/1000*E53/1000*A53*1000</f>
        <v>24.7</v>
      </c>
      <c r="I53" s="30">
        <f>Головна!F2*(K53*C53/1000*E53/1000)</f>
        <v>3863.16</v>
      </c>
      <c r="J53" s="37">
        <f>I53/((C53/1000)*(E53/1000))</f>
        <v>1931.58</v>
      </c>
      <c r="K53" s="58">
        <v>65.7</v>
      </c>
    </row>
    <row r="54" spans="1:11" ht="31.5" customHeight="1">
      <c r="A54" s="426" t="s">
        <v>352</v>
      </c>
      <c r="B54" s="426"/>
      <c r="C54" s="426"/>
      <c r="D54" s="426"/>
      <c r="E54" s="426"/>
      <c r="F54" s="426"/>
      <c r="G54" s="426"/>
      <c r="H54" s="426"/>
      <c r="I54" s="397" t="s">
        <v>269</v>
      </c>
      <c r="J54" s="397"/>
      <c r="K54" s="34" t="s">
        <v>226</v>
      </c>
    </row>
    <row r="55" spans="1:11" ht="16.5" customHeight="1" thickBot="1">
      <c r="A55" s="377">
        <v>0.65</v>
      </c>
      <c r="B55" s="377">
        <v>15</v>
      </c>
      <c r="C55" s="431">
        <v>1000</v>
      </c>
      <c r="D55" s="431"/>
      <c r="E55" s="431">
        <v>2000</v>
      </c>
      <c r="F55" s="431"/>
      <c r="G55" s="380">
        <f>B55/1000*A55*1000</f>
        <v>9.75</v>
      </c>
      <c r="H55" s="380">
        <f>B55/1000*C55/1000*E55/1000*A55*1000</f>
        <v>19.5</v>
      </c>
      <c r="I55" s="365">
        <f>Головна!F2*(K55*C55/1000*E55/1000)</f>
        <v>3283.98</v>
      </c>
      <c r="J55" s="366">
        <f>I55/((C55/1000)*(E55/1000))</f>
        <v>1641.99</v>
      </c>
      <c r="K55" s="58">
        <v>55.85</v>
      </c>
    </row>
    <row r="56" spans="1:11" ht="39" customHeight="1" thickBot="1">
      <c r="A56" s="432" t="s">
        <v>544</v>
      </c>
      <c r="B56" s="432"/>
      <c r="C56" s="432"/>
      <c r="D56" s="432"/>
      <c r="E56" s="432"/>
      <c r="F56" s="432"/>
      <c r="G56" s="432"/>
      <c r="H56" s="432"/>
      <c r="I56" s="397" t="s">
        <v>269</v>
      </c>
      <c r="J56" s="397"/>
      <c r="K56" s="34" t="s">
        <v>226</v>
      </c>
    </row>
    <row r="57" spans="1:10" ht="15.75" customHeight="1" thickBot="1">
      <c r="A57" s="376">
        <v>0.92</v>
      </c>
      <c r="B57" s="376">
        <v>57</v>
      </c>
      <c r="C57" s="434">
        <v>1500</v>
      </c>
      <c r="D57" s="434"/>
      <c r="E57" s="434">
        <v>2000</v>
      </c>
      <c r="F57" s="434"/>
      <c r="G57" s="378">
        <v>17.1</v>
      </c>
      <c r="H57" s="378">
        <f>G57*3</f>
        <v>51.300000000000004</v>
      </c>
      <c r="I57" s="379">
        <f>'[2]Главная'!F2*480</f>
        <v>15888</v>
      </c>
      <c r="J57" s="379">
        <f>'[2]Главная'!F2*480</f>
        <v>15888</v>
      </c>
    </row>
    <row r="58" spans="1:10" ht="12.75" customHeight="1" thickBot="1">
      <c r="A58" s="93"/>
      <c r="B58" s="93"/>
      <c r="C58" s="93"/>
      <c r="D58" s="94"/>
      <c r="E58" s="93"/>
      <c r="F58" s="94"/>
      <c r="G58" s="93"/>
      <c r="H58" s="93"/>
      <c r="I58" s="95"/>
      <c r="J58" s="95"/>
    </row>
    <row r="59" spans="1:10" ht="16.5" customHeight="1">
      <c r="A59" s="420" t="s">
        <v>355</v>
      </c>
      <c r="B59" s="420"/>
      <c r="C59" s="420"/>
      <c r="D59" s="420"/>
      <c r="E59" s="420"/>
      <c r="F59" s="420"/>
      <c r="G59" s="420"/>
      <c r="H59" s="420"/>
      <c r="I59" s="397" t="s">
        <v>269</v>
      </c>
      <c r="J59" s="397"/>
    </row>
    <row r="60" spans="1:10" ht="16.5" customHeight="1" thickBot="1">
      <c r="A60" s="433" t="s">
        <v>358</v>
      </c>
      <c r="B60" s="433"/>
      <c r="C60" s="433" t="s">
        <v>357</v>
      </c>
      <c r="D60" s="433"/>
      <c r="E60" s="433" t="s">
        <v>364</v>
      </c>
      <c r="F60" s="433"/>
      <c r="G60" s="433" t="s">
        <v>356</v>
      </c>
      <c r="H60" s="433"/>
      <c r="I60" s="433"/>
      <c r="J60" s="433"/>
    </row>
    <row r="61" spans="1:10" ht="16.5" customHeight="1" thickBot="1">
      <c r="A61" s="433"/>
      <c r="B61" s="433"/>
      <c r="C61" s="433"/>
      <c r="D61" s="433"/>
      <c r="E61" s="433"/>
      <c r="F61" s="433"/>
      <c r="G61" s="300" t="s">
        <v>297</v>
      </c>
      <c r="H61" s="300" t="s">
        <v>347</v>
      </c>
      <c r="I61" s="300" t="s">
        <v>350</v>
      </c>
      <c r="J61" s="300" t="s">
        <v>353</v>
      </c>
    </row>
    <row r="62" spans="1:10" ht="16.5" customHeight="1" thickBot="1">
      <c r="A62" s="435" t="s">
        <v>91</v>
      </c>
      <c r="B62" s="436"/>
      <c r="C62" s="437" t="s">
        <v>80</v>
      </c>
      <c r="D62" s="437"/>
      <c r="E62" s="438">
        <v>10</v>
      </c>
      <c r="F62" s="438"/>
      <c r="G62" s="86">
        <f>Головна!F2*105.99</f>
        <v>3116.1059999999998</v>
      </c>
      <c r="H62" s="86">
        <f>Головна!F2*104.05</f>
        <v>3059.0699999999997</v>
      </c>
      <c r="I62" s="26">
        <f>Головна!F2*104.05</f>
        <v>3059.0699999999997</v>
      </c>
      <c r="J62" s="26">
        <f>Головна!F2*104.05</f>
        <v>3059.0699999999997</v>
      </c>
    </row>
    <row r="63" spans="1:10" ht="16.5" customHeight="1">
      <c r="A63" s="435"/>
      <c r="B63" s="436"/>
      <c r="C63" s="437" t="s">
        <v>81</v>
      </c>
      <c r="D63" s="437"/>
      <c r="E63" s="438">
        <v>10</v>
      </c>
      <c r="F63" s="438"/>
      <c r="G63" s="77">
        <f>Головна!F2*100.69</f>
        <v>2960.2859999999996</v>
      </c>
      <c r="H63" s="77">
        <f>Головна!F2*104.05</f>
        <v>3059.0699999999997</v>
      </c>
      <c r="I63" s="77">
        <f>Головна!F2*104.05</f>
        <v>3059.0699999999997</v>
      </c>
      <c r="J63" s="77">
        <f>Головна!F2*104.05</f>
        <v>3059.0699999999997</v>
      </c>
    </row>
    <row r="64" spans="1:10" ht="16.5" customHeight="1">
      <c r="A64" s="435" t="s">
        <v>82</v>
      </c>
      <c r="B64" s="436"/>
      <c r="C64" s="440" t="s">
        <v>83</v>
      </c>
      <c r="D64" s="440"/>
      <c r="E64" s="441">
        <v>10</v>
      </c>
      <c r="F64" s="441"/>
      <c r="G64" s="90">
        <f>Головна!F2*98.45</f>
        <v>2894.43</v>
      </c>
      <c r="H64" s="90">
        <f>Головна!F2*101.81</f>
        <v>2993.214</v>
      </c>
      <c r="I64" s="42">
        <f>Головна!F2*101.81</f>
        <v>2993.214</v>
      </c>
      <c r="J64" s="42">
        <f>Головна!F2*101.81</f>
        <v>2993.214</v>
      </c>
    </row>
    <row r="65" spans="1:10" ht="16.5" customHeight="1">
      <c r="A65" s="435"/>
      <c r="B65" s="436"/>
      <c r="C65" s="437" t="s">
        <v>84</v>
      </c>
      <c r="D65" s="437"/>
      <c r="E65" s="438">
        <v>10</v>
      </c>
      <c r="F65" s="438"/>
      <c r="G65" s="30">
        <f>Головна!F2*98.45</f>
        <v>2894.43</v>
      </c>
      <c r="H65" s="77">
        <f>Головна!F2*101.81</f>
        <v>2993.214</v>
      </c>
      <c r="I65" s="77">
        <f>Головна!F2*101.81</f>
        <v>2993.214</v>
      </c>
      <c r="J65" s="30">
        <f>Головна!F2*101.81</f>
        <v>2993.214</v>
      </c>
    </row>
    <row r="66" spans="1:10" ht="16.5" customHeight="1">
      <c r="A66" s="435"/>
      <c r="B66" s="436"/>
      <c r="C66" s="442" t="s">
        <v>85</v>
      </c>
      <c r="D66" s="442"/>
      <c r="E66" s="438">
        <v>10</v>
      </c>
      <c r="F66" s="438"/>
      <c r="G66" s="33">
        <f>Головна!F2*98.45</f>
        <v>2894.43</v>
      </c>
      <c r="H66" s="97">
        <f>Головна!F2*101.81</f>
        <v>2993.214</v>
      </c>
      <c r="I66" s="33">
        <f>Головна!F2*101.81</f>
        <v>2993.214</v>
      </c>
      <c r="J66" s="33">
        <f>Головна!F2*101.81</f>
        <v>2993.214</v>
      </c>
    </row>
    <row r="67" spans="1:10" ht="15.75" customHeight="1">
      <c r="A67" s="444" t="s">
        <v>365</v>
      </c>
      <c r="B67" s="445"/>
      <c r="C67" s="446" t="s">
        <v>86</v>
      </c>
      <c r="D67" s="446"/>
      <c r="E67" s="441">
        <v>10</v>
      </c>
      <c r="F67" s="441"/>
      <c r="G67" s="42">
        <f>Головна!F2*100.69</f>
        <v>2960.2859999999996</v>
      </c>
      <c r="H67" s="42">
        <f>Головна!F2*104.05</f>
        <v>3059.0699999999997</v>
      </c>
      <c r="I67" s="42">
        <f>Головна!F2*104.05</f>
        <v>3059.0699999999997</v>
      </c>
      <c r="J67" s="42">
        <f>Головна!F2*104.05</f>
        <v>3059.0699999999997</v>
      </c>
    </row>
    <row r="68" spans="1:10" ht="15.75" customHeight="1">
      <c r="A68" s="444"/>
      <c r="B68" s="445"/>
      <c r="C68" s="437" t="s">
        <v>87</v>
      </c>
      <c r="D68" s="437"/>
      <c r="E68" s="438">
        <v>10</v>
      </c>
      <c r="F68" s="438"/>
      <c r="G68" s="30">
        <f>Головна!F2*100.69</f>
        <v>2960.2859999999996</v>
      </c>
      <c r="H68" s="26">
        <f>Головна!F2*104.05</f>
        <v>3059.0699999999997</v>
      </c>
      <c r="I68" s="26">
        <f>Головна!F2*104.05</f>
        <v>3059.0699999999997</v>
      </c>
      <c r="J68" s="26">
        <f>Головна!F2*104.05</f>
        <v>3059.0699999999997</v>
      </c>
    </row>
    <row r="69" spans="1:10" ht="16.5" customHeight="1">
      <c r="A69" s="444"/>
      <c r="B69" s="445"/>
      <c r="C69" s="437" t="s">
        <v>88</v>
      </c>
      <c r="D69" s="437"/>
      <c r="E69" s="438">
        <v>10</v>
      </c>
      <c r="F69" s="438"/>
      <c r="G69" s="77">
        <f>Головна!F2*100.69</f>
        <v>2960.2859999999996</v>
      </c>
      <c r="H69" s="30">
        <f>Головна!F2*104.05</f>
        <v>3059.0699999999997</v>
      </c>
      <c r="I69" s="30">
        <f>Головна!F2*104.05</f>
        <v>3059.0699999999997</v>
      </c>
      <c r="J69" s="30">
        <f>Головна!F2*104.05</f>
        <v>3059.0699999999997</v>
      </c>
    </row>
    <row r="70" spans="1:11" ht="16.5" customHeight="1">
      <c r="A70" s="444"/>
      <c r="B70" s="445"/>
      <c r="C70" s="442" t="s">
        <v>89</v>
      </c>
      <c r="D70" s="442"/>
      <c r="E70" s="439">
        <v>10</v>
      </c>
      <c r="F70" s="439"/>
      <c r="G70" s="98">
        <f>Головна!F2*100.69</f>
        <v>2960.2859999999996</v>
      </c>
      <c r="H70" s="37">
        <f>Головна!F2*104.05</f>
        <v>3059.0699999999997</v>
      </c>
      <c r="I70" s="37">
        <f>Головна!F2*104.05</f>
        <v>3059.0699999999997</v>
      </c>
      <c r="J70" s="98">
        <f>Головна!F2*104.05</f>
        <v>3059.0699999999997</v>
      </c>
      <c r="K70" s="34" t="s">
        <v>226</v>
      </c>
    </row>
    <row r="71" spans="1:10" ht="15.75" customHeight="1">
      <c r="A71" s="99"/>
      <c r="B71" s="94"/>
      <c r="C71" s="100"/>
      <c r="D71" s="101"/>
      <c r="E71" s="102"/>
      <c r="F71" s="102"/>
      <c r="G71" s="95"/>
      <c r="H71" s="102"/>
      <c r="I71" s="102"/>
      <c r="J71" s="95"/>
    </row>
    <row r="72" spans="1:10" ht="12.75" customHeight="1">
      <c r="A72" s="443" t="s">
        <v>359</v>
      </c>
      <c r="B72" s="443"/>
      <c r="C72" s="443"/>
      <c r="D72" s="443"/>
      <c r="E72" s="443"/>
      <c r="F72" s="443"/>
      <c r="G72" s="443"/>
      <c r="H72" s="443"/>
      <c r="I72" s="443"/>
      <c r="J72" s="443"/>
    </row>
    <row r="73" spans="1:10" ht="12.75" customHeight="1">
      <c r="A73" s="443"/>
      <c r="B73" s="443"/>
      <c r="C73" s="443"/>
      <c r="D73" s="443"/>
      <c r="E73" s="443"/>
      <c r="F73" s="443"/>
      <c r="G73" s="443"/>
      <c r="H73" s="443"/>
      <c r="I73" s="443"/>
      <c r="J73" s="443"/>
    </row>
    <row r="74" spans="1:10" ht="12.75" customHeight="1">
      <c r="A74" s="443"/>
      <c r="B74" s="443"/>
      <c r="C74" s="443"/>
      <c r="D74" s="443"/>
      <c r="E74" s="443"/>
      <c r="F74" s="443"/>
      <c r="G74" s="443"/>
      <c r="H74" s="443"/>
      <c r="I74" s="443"/>
      <c r="J74" s="443"/>
    </row>
    <row r="75" spans="1:10" ht="22.5" customHeight="1">
      <c r="A75" s="443"/>
      <c r="B75" s="443"/>
      <c r="C75" s="443"/>
      <c r="D75" s="443"/>
      <c r="E75" s="443"/>
      <c r="F75" s="443"/>
      <c r="G75" s="443"/>
      <c r="H75" s="443"/>
      <c r="I75" s="443"/>
      <c r="J75" s="443"/>
    </row>
    <row r="76" ht="12.75" customHeight="1">
      <c r="A76" s="11" t="str">
        <f>Головна!A32</f>
        <v>Всі ціни вказані станом на 05.07.2019 р.</v>
      </c>
    </row>
  </sheetData>
  <sheetProtection selectLockedCells="1" selectUnlockedCells="1"/>
  <mergeCells count="137">
    <mergeCell ref="A72:J75"/>
    <mergeCell ref="A67:A70"/>
    <mergeCell ref="B67:B70"/>
    <mergeCell ref="C67:D67"/>
    <mergeCell ref="E67:F67"/>
    <mergeCell ref="C68:D68"/>
    <mergeCell ref="E68:F68"/>
    <mergeCell ref="C69:D69"/>
    <mergeCell ref="E69:F69"/>
    <mergeCell ref="C70:D70"/>
    <mergeCell ref="E70:F70"/>
    <mergeCell ref="A64:A66"/>
    <mergeCell ref="B64:B66"/>
    <mergeCell ref="C64:D64"/>
    <mergeCell ref="E64:F64"/>
    <mergeCell ref="C65:D65"/>
    <mergeCell ref="E65:F65"/>
    <mergeCell ref="C66:D66"/>
    <mergeCell ref="E66:F66"/>
    <mergeCell ref="A62:A63"/>
    <mergeCell ref="B62:B63"/>
    <mergeCell ref="C62:D62"/>
    <mergeCell ref="E62:F62"/>
    <mergeCell ref="C63:D63"/>
    <mergeCell ref="E63:F63"/>
    <mergeCell ref="I56:J56"/>
    <mergeCell ref="A59:H59"/>
    <mergeCell ref="I59:J59"/>
    <mergeCell ref="A60:B61"/>
    <mergeCell ref="C60:D61"/>
    <mergeCell ref="E60:F61"/>
    <mergeCell ref="G60:J60"/>
    <mergeCell ref="C57:D57"/>
    <mergeCell ref="E57:F57"/>
    <mergeCell ref="C51:D51"/>
    <mergeCell ref="E51:F51"/>
    <mergeCell ref="A54:H54"/>
    <mergeCell ref="C55:D55"/>
    <mergeCell ref="E55:F55"/>
    <mergeCell ref="A56:H56"/>
    <mergeCell ref="C52:D52"/>
    <mergeCell ref="E52:F52"/>
    <mergeCell ref="C53:D53"/>
    <mergeCell ref="E53:F53"/>
    <mergeCell ref="E45:F45"/>
    <mergeCell ref="A46:H46"/>
    <mergeCell ref="I46:J46"/>
    <mergeCell ref="C47:D47"/>
    <mergeCell ref="E47:F47"/>
    <mergeCell ref="I54:J54"/>
    <mergeCell ref="A49:H49"/>
    <mergeCell ref="I49:J49"/>
    <mergeCell ref="C50:D50"/>
    <mergeCell ref="E50:F50"/>
    <mergeCell ref="E40:F40"/>
    <mergeCell ref="C41:D41"/>
    <mergeCell ref="E41:F41"/>
    <mergeCell ref="C48:D48"/>
    <mergeCell ref="E48:F48"/>
    <mergeCell ref="C43:D43"/>
    <mergeCell ref="E43:F43"/>
    <mergeCell ref="C44:D44"/>
    <mergeCell ref="E44:F44"/>
    <mergeCell ref="C45:D45"/>
    <mergeCell ref="E35:F35"/>
    <mergeCell ref="C42:D42"/>
    <mergeCell ref="E42:F42"/>
    <mergeCell ref="C37:D37"/>
    <mergeCell ref="E37:F37"/>
    <mergeCell ref="C38:D38"/>
    <mergeCell ref="E38:F38"/>
    <mergeCell ref="C39:D39"/>
    <mergeCell ref="E39:F39"/>
    <mergeCell ref="C40:D40"/>
    <mergeCell ref="C36:D36"/>
    <mergeCell ref="E36:F36"/>
    <mergeCell ref="C31:D31"/>
    <mergeCell ref="E31:F31"/>
    <mergeCell ref="C32:D32"/>
    <mergeCell ref="E32:F32"/>
    <mergeCell ref="A33:H33"/>
    <mergeCell ref="C34:D34"/>
    <mergeCell ref="E34:F34"/>
    <mergeCell ref="C35:D35"/>
    <mergeCell ref="I33:J33"/>
    <mergeCell ref="C28:D28"/>
    <mergeCell ref="E28:F28"/>
    <mergeCell ref="C29:D29"/>
    <mergeCell ref="E29:F29"/>
    <mergeCell ref="C30:D30"/>
    <mergeCell ref="E30:F30"/>
    <mergeCell ref="E23:F23"/>
    <mergeCell ref="C24:D24"/>
    <mergeCell ref="E24:F24"/>
    <mergeCell ref="A25:J25"/>
    <mergeCell ref="A26:H26"/>
    <mergeCell ref="I26:J26"/>
    <mergeCell ref="E16:F16"/>
    <mergeCell ref="C19:D19"/>
    <mergeCell ref="E19:F19"/>
    <mergeCell ref="C27:D27"/>
    <mergeCell ref="E27:F27"/>
    <mergeCell ref="C21:D21"/>
    <mergeCell ref="E21:F21"/>
    <mergeCell ref="C22:D22"/>
    <mergeCell ref="E22:F22"/>
    <mergeCell ref="C23:D23"/>
    <mergeCell ref="E13:F13"/>
    <mergeCell ref="C20:D20"/>
    <mergeCell ref="E20:F20"/>
    <mergeCell ref="C15:D15"/>
    <mergeCell ref="E15:F15"/>
    <mergeCell ref="C17:D17"/>
    <mergeCell ref="E17:F17"/>
    <mergeCell ref="C18:D18"/>
    <mergeCell ref="E18:F18"/>
    <mergeCell ref="C16:D16"/>
    <mergeCell ref="A7:G7"/>
    <mergeCell ref="A8:G8"/>
    <mergeCell ref="C14:D14"/>
    <mergeCell ref="E14:F14"/>
    <mergeCell ref="C9:D9"/>
    <mergeCell ref="E9:F9"/>
    <mergeCell ref="A10:H10"/>
    <mergeCell ref="C12:D12"/>
    <mergeCell ref="E12:F12"/>
    <mergeCell ref="C13:D13"/>
    <mergeCell ref="I10:J10"/>
    <mergeCell ref="C11:D11"/>
    <mergeCell ref="E11:F11"/>
    <mergeCell ref="A1:K2"/>
    <mergeCell ref="A3:K3"/>
    <mergeCell ref="A4:J4"/>
    <mergeCell ref="A5:G5"/>
    <mergeCell ref="H5:I8"/>
    <mergeCell ref="J5:J8"/>
    <mergeCell ref="A6:E6"/>
  </mergeCells>
  <hyperlinks>
    <hyperlink ref="A8" r:id="rId1" display="http://www.plastics.ua/industrial/Полипропилен "/>
    <hyperlink ref="I10" r:id="rId2" display="Смотреть на сайте"/>
    <hyperlink ref="I26" r:id="rId3" display="Смотреть на сайте"/>
    <hyperlink ref="K26" location="Главная!A1" display="на главную"/>
    <hyperlink ref="I33" r:id="rId4" display="Смотреть на сайте"/>
    <hyperlink ref="K33" location="Главная!A1" display="на главную"/>
    <hyperlink ref="I46" r:id="rId5" display="Смотреть на сайте"/>
    <hyperlink ref="K46" location="Главная!A1" display="на главную"/>
    <hyperlink ref="I49" r:id="rId6" display="Смотреть на сайте"/>
    <hyperlink ref="K49" location="Главная!A1" display="на главную"/>
    <hyperlink ref="I54" r:id="rId7" display="Смотреть на сайте"/>
    <hyperlink ref="K54" location="Главная!A1" display="на главную"/>
    <hyperlink ref="I56" r:id="rId8" display="Смотреть на сайте"/>
    <hyperlink ref="K56" location="Главная!A1" display="на главную"/>
    <hyperlink ref="I59" r:id="rId9" display="Смотреть на сайте"/>
    <hyperlink ref="K70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56" r:id="rId11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K38"/>
  <sheetViews>
    <sheetView view="pageBreakPreview" zoomScale="85" zoomScaleNormal="7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L4" sqref="L4"/>
    </sheetView>
  </sheetViews>
  <sheetFormatPr defaultColWidth="8.7109375" defaultRowHeight="12.75" customHeight="1"/>
  <cols>
    <col min="1" max="1" width="15.00390625" style="12" customWidth="1"/>
    <col min="2" max="2" width="18.140625" style="12" customWidth="1"/>
    <col min="3" max="4" width="8.00390625" style="12" customWidth="1"/>
    <col min="5" max="5" width="7.421875" style="12" customWidth="1"/>
    <col min="6" max="6" width="6.57421875" style="12" customWidth="1"/>
    <col min="7" max="7" width="16.7109375" style="12" customWidth="1"/>
    <col min="8" max="8" width="14.140625" style="12" customWidth="1"/>
    <col min="9" max="9" width="15.8515625" style="12" customWidth="1"/>
    <col min="10" max="10" width="15.57421875" style="12" customWidth="1"/>
    <col min="11" max="11" width="10.8515625" style="58" customWidth="1"/>
    <col min="12" max="16384" width="8.7109375" style="12" customWidth="1"/>
  </cols>
  <sheetData>
    <row r="1" spans="1:11" ht="4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s="14" customFormat="1" ht="24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30.7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0" ht="15" customHeight="1">
      <c r="A4" s="414" t="s">
        <v>367</v>
      </c>
      <c r="B4" s="414"/>
      <c r="C4" s="414"/>
      <c r="D4" s="414"/>
      <c r="E4" s="414"/>
      <c r="F4" s="414"/>
      <c r="G4" s="414"/>
      <c r="H4" s="414"/>
      <c r="I4" s="414"/>
      <c r="J4" s="414"/>
    </row>
    <row r="5" spans="1:10" ht="26.25" customHeight="1">
      <c r="A5" s="447" t="s">
        <v>90</v>
      </c>
      <c r="B5" s="447"/>
      <c r="C5" s="447"/>
      <c r="D5" s="447"/>
      <c r="E5" s="447"/>
      <c r="F5" s="447"/>
      <c r="G5" s="447"/>
      <c r="H5" s="448"/>
      <c r="I5" s="448"/>
      <c r="J5" s="448"/>
    </row>
    <row r="6" spans="1:10" ht="17.25" customHeight="1">
      <c r="A6" s="408" t="s">
        <v>332</v>
      </c>
      <c r="B6" s="408"/>
      <c r="C6" s="408"/>
      <c r="D6" s="408"/>
      <c r="E6" s="408"/>
      <c r="F6" s="104"/>
      <c r="G6" s="104"/>
      <c r="H6" s="448"/>
      <c r="I6" s="448"/>
      <c r="J6" s="448"/>
    </row>
    <row r="7" spans="1:10" ht="15.75" customHeight="1">
      <c r="A7" s="416" t="s">
        <v>360</v>
      </c>
      <c r="B7" s="416"/>
      <c r="C7" s="416"/>
      <c r="D7" s="416"/>
      <c r="E7" s="416"/>
      <c r="F7" s="416"/>
      <c r="G7" s="416"/>
      <c r="H7" s="448"/>
      <c r="I7" s="448"/>
      <c r="J7" s="448"/>
    </row>
    <row r="8" spans="1:10" ht="15.75" customHeight="1">
      <c r="A8" s="417" t="s">
        <v>204</v>
      </c>
      <c r="B8" s="417"/>
      <c r="C8" s="417"/>
      <c r="D8" s="417"/>
      <c r="E8" s="417"/>
      <c r="F8" s="417"/>
      <c r="G8" s="417"/>
      <c r="H8" s="448"/>
      <c r="I8" s="448"/>
      <c r="J8" s="448"/>
    </row>
    <row r="9" spans="1:10" ht="53.25" customHeight="1">
      <c r="A9" s="75" t="s">
        <v>314</v>
      </c>
      <c r="B9" s="75" t="s">
        <v>315</v>
      </c>
      <c r="C9" s="419" t="s">
        <v>78</v>
      </c>
      <c r="D9" s="419"/>
      <c r="E9" s="419" t="s">
        <v>317</v>
      </c>
      <c r="F9" s="419"/>
      <c r="G9" s="75" t="s">
        <v>328</v>
      </c>
      <c r="H9" s="75" t="s">
        <v>323</v>
      </c>
      <c r="I9" s="75" t="s">
        <v>338</v>
      </c>
      <c r="J9" s="75" t="s">
        <v>339</v>
      </c>
    </row>
    <row r="10" spans="1:10" ht="39.75" customHeight="1">
      <c r="A10" s="449" t="s">
        <v>361</v>
      </c>
      <c r="B10" s="449"/>
      <c r="C10" s="449"/>
      <c r="D10" s="449"/>
      <c r="E10" s="449"/>
      <c r="F10" s="449"/>
      <c r="G10" s="449"/>
      <c r="H10" s="449"/>
      <c r="I10" s="450" t="s">
        <v>269</v>
      </c>
      <c r="J10" s="450"/>
    </row>
    <row r="11" spans="1:11" ht="15" customHeight="1">
      <c r="A11" s="42">
        <v>0.96</v>
      </c>
      <c r="B11" s="83">
        <v>1</v>
      </c>
      <c r="C11" s="422">
        <v>1500</v>
      </c>
      <c r="D11" s="422"/>
      <c r="E11" s="422">
        <v>3000</v>
      </c>
      <c r="F11" s="422"/>
      <c r="G11" s="42">
        <f aca="true" t="shared" si="0" ref="G11:G24">B11/1000*A11*1000</f>
        <v>0.9600000000000001</v>
      </c>
      <c r="H11" s="42">
        <f aca="true" t="shared" si="1" ref="H11:H24">B11/1000*C11/1000*E11/1000*A11*1000</f>
        <v>4.319999999999999</v>
      </c>
      <c r="I11" s="26">
        <f aca="true" t="shared" si="2" ref="I11:I24">H11*K11</f>
        <v>647.7407999999998</v>
      </c>
      <c r="J11" s="26">
        <f aca="true" t="shared" si="3" ref="J11:J24">I11/(C11*E11/1000000)</f>
        <v>143.94239999999996</v>
      </c>
      <c r="K11" s="58">
        <f>Головна!F2*5.1</f>
        <v>149.93999999999997</v>
      </c>
    </row>
    <row r="12" spans="1:11" ht="15" customHeight="1">
      <c r="A12" s="30">
        <v>0.96</v>
      </c>
      <c r="B12" s="80">
        <v>2</v>
      </c>
      <c r="C12" s="423">
        <v>1500</v>
      </c>
      <c r="D12" s="423"/>
      <c r="E12" s="423">
        <v>3000</v>
      </c>
      <c r="F12" s="423"/>
      <c r="G12" s="30">
        <f t="shared" si="0"/>
        <v>1.9200000000000002</v>
      </c>
      <c r="H12" s="30">
        <f t="shared" si="1"/>
        <v>8.639999999999999</v>
      </c>
      <c r="I12" s="30">
        <f t="shared" si="2"/>
        <v>1186.25472</v>
      </c>
      <c r="J12" s="30">
        <f t="shared" si="3"/>
        <v>263.61215999999996</v>
      </c>
      <c r="K12" s="58">
        <f>Головна!F2*4.67</f>
        <v>137.298</v>
      </c>
    </row>
    <row r="13" spans="1:11" ht="15.75" customHeight="1">
      <c r="A13" s="77">
        <v>0.96</v>
      </c>
      <c r="B13" s="78">
        <v>3</v>
      </c>
      <c r="C13" s="418">
        <v>1500</v>
      </c>
      <c r="D13" s="418"/>
      <c r="E13" s="418">
        <v>3000</v>
      </c>
      <c r="F13" s="418"/>
      <c r="G13" s="77">
        <f t="shared" si="0"/>
        <v>2.88</v>
      </c>
      <c r="H13" s="77">
        <f t="shared" si="1"/>
        <v>12.959999999999997</v>
      </c>
      <c r="I13" s="77">
        <f t="shared" si="2"/>
        <v>1676.5055999999997</v>
      </c>
      <c r="J13" s="77">
        <f t="shared" si="3"/>
        <v>372.55679999999995</v>
      </c>
      <c r="K13" s="58">
        <f>Головна!F2*4.4</f>
        <v>129.36</v>
      </c>
    </row>
    <row r="14" spans="1:11" ht="15.75" customHeight="1">
      <c r="A14" s="77">
        <v>0.96</v>
      </c>
      <c r="B14" s="78">
        <v>4</v>
      </c>
      <c r="C14" s="418">
        <v>1500</v>
      </c>
      <c r="D14" s="418"/>
      <c r="E14" s="418">
        <v>3000</v>
      </c>
      <c r="F14" s="418"/>
      <c r="G14" s="77">
        <f t="shared" si="0"/>
        <v>3.8400000000000003</v>
      </c>
      <c r="H14" s="77">
        <f t="shared" si="1"/>
        <v>17.279999999999998</v>
      </c>
      <c r="I14" s="77">
        <f t="shared" si="2"/>
        <v>2235.3408</v>
      </c>
      <c r="J14" s="77">
        <f t="shared" si="3"/>
        <v>496.7424</v>
      </c>
      <c r="K14" s="58">
        <f>Головна!F2*4.4</f>
        <v>129.36</v>
      </c>
    </row>
    <row r="15" spans="1:11" ht="15.75" customHeight="1">
      <c r="A15" s="77">
        <v>0.96</v>
      </c>
      <c r="B15" s="78">
        <v>5</v>
      </c>
      <c r="C15" s="418">
        <v>1500</v>
      </c>
      <c r="D15" s="418"/>
      <c r="E15" s="418">
        <v>3000</v>
      </c>
      <c r="F15" s="418"/>
      <c r="G15" s="77">
        <f t="shared" si="0"/>
        <v>4.8</v>
      </c>
      <c r="H15" s="77">
        <f t="shared" si="1"/>
        <v>21.599999999999998</v>
      </c>
      <c r="I15" s="77">
        <f t="shared" si="2"/>
        <v>2794.176</v>
      </c>
      <c r="J15" s="77">
        <f t="shared" si="3"/>
        <v>620.928</v>
      </c>
      <c r="K15" s="58">
        <f>Головна!F2*4.4</f>
        <v>129.36</v>
      </c>
    </row>
    <row r="16" spans="1:11" ht="15.75" customHeight="1">
      <c r="A16" s="77">
        <v>0.96</v>
      </c>
      <c r="B16" s="78">
        <v>6</v>
      </c>
      <c r="C16" s="418">
        <v>1500</v>
      </c>
      <c r="D16" s="418"/>
      <c r="E16" s="418">
        <v>3000</v>
      </c>
      <c r="F16" s="418"/>
      <c r="G16" s="77">
        <f t="shared" si="0"/>
        <v>5.76</v>
      </c>
      <c r="H16" s="77">
        <f t="shared" si="1"/>
        <v>25.919999999999995</v>
      </c>
      <c r="I16" s="77">
        <f t="shared" si="2"/>
        <v>3353.0111999999995</v>
      </c>
      <c r="J16" s="77">
        <f t="shared" si="3"/>
        <v>745.1135999999999</v>
      </c>
      <c r="K16" s="58">
        <f>Головна!F2*4.4</f>
        <v>129.36</v>
      </c>
    </row>
    <row r="17" spans="1:11" ht="15.75" customHeight="1">
      <c r="A17" s="77">
        <v>0.96</v>
      </c>
      <c r="B17" s="78">
        <v>8</v>
      </c>
      <c r="C17" s="418">
        <v>1500</v>
      </c>
      <c r="D17" s="418"/>
      <c r="E17" s="418">
        <v>3000</v>
      </c>
      <c r="F17" s="418"/>
      <c r="G17" s="77">
        <f t="shared" si="0"/>
        <v>7.680000000000001</v>
      </c>
      <c r="H17" s="77">
        <f t="shared" si="1"/>
        <v>34.559999999999995</v>
      </c>
      <c r="I17" s="77">
        <f t="shared" si="2"/>
        <v>4470.6816</v>
      </c>
      <c r="J17" s="77">
        <f t="shared" si="3"/>
        <v>993.4848</v>
      </c>
      <c r="K17" s="58">
        <f>Головна!F2*4.4</f>
        <v>129.36</v>
      </c>
    </row>
    <row r="18" spans="1:11" ht="15.75" customHeight="1">
      <c r="A18" s="77">
        <v>0.96</v>
      </c>
      <c r="B18" s="78">
        <v>10</v>
      </c>
      <c r="C18" s="418">
        <v>1500</v>
      </c>
      <c r="D18" s="418"/>
      <c r="E18" s="418">
        <v>3000</v>
      </c>
      <c r="F18" s="418"/>
      <c r="G18" s="77">
        <f t="shared" si="0"/>
        <v>9.6</v>
      </c>
      <c r="H18" s="77">
        <f t="shared" si="1"/>
        <v>43.199999999999996</v>
      </c>
      <c r="I18" s="77">
        <f t="shared" si="2"/>
        <v>5588.352</v>
      </c>
      <c r="J18" s="77">
        <f t="shared" si="3"/>
        <v>1241.856</v>
      </c>
      <c r="K18" s="58">
        <f>Головна!F2*4.4</f>
        <v>129.36</v>
      </c>
    </row>
    <row r="19" spans="1:11" ht="15.75" customHeight="1">
      <c r="A19" s="77">
        <v>0.96</v>
      </c>
      <c r="B19" s="78">
        <v>12</v>
      </c>
      <c r="C19" s="418">
        <v>1500</v>
      </c>
      <c r="D19" s="418"/>
      <c r="E19" s="418">
        <v>3000</v>
      </c>
      <c r="F19" s="418"/>
      <c r="G19" s="77">
        <f t="shared" si="0"/>
        <v>11.52</v>
      </c>
      <c r="H19" s="77">
        <f t="shared" si="1"/>
        <v>51.83999999999999</v>
      </c>
      <c r="I19" s="77">
        <f t="shared" si="2"/>
        <v>6706.022399999999</v>
      </c>
      <c r="J19" s="77">
        <f t="shared" si="3"/>
        <v>1490.2271999999998</v>
      </c>
      <c r="K19" s="58">
        <f>Головна!F2*4.4</f>
        <v>129.36</v>
      </c>
    </row>
    <row r="20" spans="1:11" ht="15.75" customHeight="1">
      <c r="A20" s="77">
        <v>0.96</v>
      </c>
      <c r="B20" s="78">
        <v>15</v>
      </c>
      <c r="C20" s="418">
        <v>1500</v>
      </c>
      <c r="D20" s="418"/>
      <c r="E20" s="418">
        <v>3000</v>
      </c>
      <c r="F20" s="418"/>
      <c r="G20" s="77">
        <f t="shared" si="0"/>
        <v>14.4</v>
      </c>
      <c r="H20" s="77">
        <f t="shared" si="1"/>
        <v>64.8</v>
      </c>
      <c r="I20" s="77">
        <f t="shared" si="2"/>
        <v>8382.528</v>
      </c>
      <c r="J20" s="77">
        <f t="shared" si="3"/>
        <v>1862.784</v>
      </c>
      <c r="K20" s="58">
        <f>Головна!F2*4.4</f>
        <v>129.36</v>
      </c>
    </row>
    <row r="21" spans="1:11" ht="15" customHeight="1">
      <c r="A21" s="30">
        <v>0.96</v>
      </c>
      <c r="B21" s="80">
        <v>20</v>
      </c>
      <c r="C21" s="423">
        <v>1500</v>
      </c>
      <c r="D21" s="423"/>
      <c r="E21" s="423">
        <v>3000</v>
      </c>
      <c r="F21" s="423"/>
      <c r="G21" s="30">
        <f t="shared" si="0"/>
        <v>19.2</v>
      </c>
      <c r="H21" s="30">
        <f t="shared" si="1"/>
        <v>86.39999999999999</v>
      </c>
      <c r="I21" s="30">
        <f t="shared" si="2"/>
        <v>11176.704</v>
      </c>
      <c r="J21" s="30">
        <f t="shared" si="3"/>
        <v>2483.712</v>
      </c>
      <c r="K21" s="58">
        <f>Головна!F2*4.4</f>
        <v>129.36</v>
      </c>
    </row>
    <row r="22" spans="1:11" ht="15" customHeight="1">
      <c r="A22" s="30">
        <v>0.96</v>
      </c>
      <c r="B22" s="80">
        <v>25</v>
      </c>
      <c r="C22" s="423">
        <v>1500</v>
      </c>
      <c r="D22" s="423"/>
      <c r="E22" s="423">
        <v>3000</v>
      </c>
      <c r="F22" s="423"/>
      <c r="G22" s="30">
        <f t="shared" si="0"/>
        <v>24</v>
      </c>
      <c r="H22" s="30">
        <f t="shared" si="1"/>
        <v>108</v>
      </c>
      <c r="I22" s="30">
        <f t="shared" si="2"/>
        <v>13970.880000000001</v>
      </c>
      <c r="J22" s="30">
        <f t="shared" si="3"/>
        <v>3104.6400000000003</v>
      </c>
      <c r="K22" s="58">
        <f>Головна!F2*4.4</f>
        <v>129.36</v>
      </c>
    </row>
    <row r="23" spans="1:11" ht="15" customHeight="1">
      <c r="A23" s="30">
        <v>0.96</v>
      </c>
      <c r="B23" s="80">
        <v>30</v>
      </c>
      <c r="C23" s="423">
        <v>1500</v>
      </c>
      <c r="D23" s="423"/>
      <c r="E23" s="423">
        <v>3000</v>
      </c>
      <c r="F23" s="423"/>
      <c r="G23" s="30">
        <f t="shared" si="0"/>
        <v>28.8</v>
      </c>
      <c r="H23" s="30">
        <f t="shared" si="1"/>
        <v>129.6</v>
      </c>
      <c r="I23" s="30">
        <f t="shared" si="2"/>
        <v>16765.056</v>
      </c>
      <c r="J23" s="30">
        <f t="shared" si="3"/>
        <v>3725.568</v>
      </c>
      <c r="K23" s="58">
        <f>Головна!F2*4.4</f>
        <v>129.36</v>
      </c>
    </row>
    <row r="24" spans="1:11" ht="15" customHeight="1">
      <c r="A24" s="37">
        <v>0.96</v>
      </c>
      <c r="B24" s="82">
        <v>50</v>
      </c>
      <c r="C24" s="424">
        <v>1500</v>
      </c>
      <c r="D24" s="424"/>
      <c r="E24" s="424">
        <v>3000</v>
      </c>
      <c r="F24" s="424"/>
      <c r="G24" s="37">
        <f t="shared" si="0"/>
        <v>48</v>
      </c>
      <c r="H24" s="37">
        <f t="shared" si="1"/>
        <v>216</v>
      </c>
      <c r="I24" s="37">
        <f t="shared" si="2"/>
        <v>27941.760000000002</v>
      </c>
      <c r="J24" s="37">
        <f t="shared" si="3"/>
        <v>6209.280000000001</v>
      </c>
      <c r="K24" s="58">
        <f>Головна!F2*4.4</f>
        <v>129.36</v>
      </c>
    </row>
    <row r="25" spans="1:11" ht="12.75" customHeight="1">
      <c r="A25" s="93"/>
      <c r="B25" s="93"/>
      <c r="C25" s="93"/>
      <c r="D25" s="94"/>
      <c r="E25" s="93"/>
      <c r="F25" s="94"/>
      <c r="G25" s="93"/>
      <c r="H25" s="93"/>
      <c r="I25" s="95"/>
      <c r="J25" s="95"/>
      <c r="K25" s="34" t="s">
        <v>226</v>
      </c>
    </row>
    <row r="26" spans="1:10" ht="15.75" customHeight="1">
      <c r="A26" s="432" t="s">
        <v>362</v>
      </c>
      <c r="B26" s="432"/>
      <c r="C26" s="432"/>
      <c r="D26" s="432"/>
      <c r="E26" s="432"/>
      <c r="F26" s="432"/>
      <c r="G26" s="397" t="s">
        <v>269</v>
      </c>
      <c r="H26" s="397"/>
      <c r="I26" s="105"/>
      <c r="J26" s="106"/>
    </row>
    <row r="27" spans="1:10" ht="15.75" customHeight="1">
      <c r="A27" s="451" t="s">
        <v>358</v>
      </c>
      <c r="B27" s="451"/>
      <c r="C27" s="451" t="s">
        <v>357</v>
      </c>
      <c r="D27" s="451"/>
      <c r="E27" s="451" t="s">
        <v>364</v>
      </c>
      <c r="F27" s="451"/>
      <c r="G27" s="433" t="s">
        <v>356</v>
      </c>
      <c r="H27" s="433"/>
      <c r="I27" s="105"/>
      <c r="J27" s="106"/>
    </row>
    <row r="28" spans="1:10" ht="31.5" customHeight="1">
      <c r="A28" s="451"/>
      <c r="B28" s="451"/>
      <c r="C28" s="451"/>
      <c r="D28" s="451"/>
      <c r="E28" s="451"/>
      <c r="F28" s="451"/>
      <c r="G28" s="96" t="s">
        <v>249</v>
      </c>
      <c r="H28" s="96" t="s">
        <v>268</v>
      </c>
      <c r="I28" s="105"/>
      <c r="J28" s="106"/>
    </row>
    <row r="29" spans="1:10" ht="15" customHeight="1">
      <c r="A29" s="435" t="s">
        <v>91</v>
      </c>
      <c r="B29" s="436"/>
      <c r="C29" s="440" t="s">
        <v>92</v>
      </c>
      <c r="D29" s="440"/>
      <c r="E29" s="441">
        <v>10</v>
      </c>
      <c r="F29" s="441"/>
      <c r="G29" s="83" t="s">
        <v>342</v>
      </c>
      <c r="H29" s="83" t="s">
        <v>342</v>
      </c>
      <c r="I29" s="105"/>
      <c r="J29" s="106"/>
    </row>
    <row r="30" spans="1:10" ht="15.75" customHeight="1">
      <c r="A30" s="435"/>
      <c r="B30" s="436"/>
      <c r="C30" s="437" t="s">
        <v>80</v>
      </c>
      <c r="D30" s="437"/>
      <c r="E30" s="438">
        <v>10</v>
      </c>
      <c r="F30" s="438"/>
      <c r="G30" s="30">
        <f>Головна!F2*105.99</f>
        <v>3116.1059999999998</v>
      </c>
      <c r="H30" s="77">
        <f>Головна!F2*105.99</f>
        <v>3116.1059999999998</v>
      </c>
      <c r="I30" s="105"/>
      <c r="J30" s="106"/>
    </row>
    <row r="31" spans="1:10" ht="15.75" customHeight="1">
      <c r="A31" s="435"/>
      <c r="B31" s="436"/>
      <c r="C31" s="437" t="s">
        <v>81</v>
      </c>
      <c r="D31" s="437"/>
      <c r="E31" s="438">
        <v>10</v>
      </c>
      <c r="F31" s="438"/>
      <c r="G31" s="30">
        <f>Головна!F2*105.99</f>
        <v>3116.1059999999998</v>
      </c>
      <c r="H31" s="77">
        <f>Головна!F2*105.99</f>
        <v>3116.1059999999998</v>
      </c>
      <c r="I31" s="105"/>
      <c r="J31" s="106"/>
    </row>
    <row r="32" spans="1:10" ht="15" customHeight="1">
      <c r="A32" s="435"/>
      <c r="B32" s="436"/>
      <c r="C32" s="442" t="s">
        <v>93</v>
      </c>
      <c r="D32" s="442"/>
      <c r="E32" s="439">
        <v>10</v>
      </c>
      <c r="F32" s="439"/>
      <c r="G32" s="82" t="s">
        <v>342</v>
      </c>
      <c r="H32" s="37" t="s">
        <v>342</v>
      </c>
      <c r="I32" s="34" t="s">
        <v>226</v>
      </c>
      <c r="J32" s="106"/>
    </row>
    <row r="33" spans="1:10" ht="12.75" customHeight="1">
      <c r="A33" s="107"/>
      <c r="B33" s="108"/>
      <c r="C33" s="100"/>
      <c r="D33" s="101"/>
      <c r="E33" s="102"/>
      <c r="F33" s="102"/>
      <c r="G33" s="109"/>
      <c r="H33" s="102"/>
      <c r="I33" s="105"/>
      <c r="J33" s="106"/>
    </row>
    <row r="34" spans="1:10" ht="12.75" customHeight="1">
      <c r="A34" s="443" t="s">
        <v>366</v>
      </c>
      <c r="B34" s="443"/>
      <c r="C34" s="443"/>
      <c r="D34" s="443"/>
      <c r="E34" s="443"/>
      <c r="F34" s="443"/>
      <c r="G34" s="443"/>
      <c r="H34" s="443"/>
      <c r="I34" s="443"/>
      <c r="J34" s="443"/>
    </row>
    <row r="35" spans="1:10" ht="12.75" customHeight="1">
      <c r="A35" s="443"/>
      <c r="B35" s="443"/>
      <c r="C35" s="443"/>
      <c r="D35" s="443"/>
      <c r="E35" s="443"/>
      <c r="F35" s="443"/>
      <c r="G35" s="443"/>
      <c r="H35" s="443"/>
      <c r="I35" s="443"/>
      <c r="J35" s="443"/>
    </row>
    <row r="36" spans="1:10" ht="12.75" customHeight="1">
      <c r="A36" s="443"/>
      <c r="B36" s="443"/>
      <c r="C36" s="443"/>
      <c r="D36" s="443"/>
      <c r="E36" s="443"/>
      <c r="F36" s="443"/>
      <c r="G36" s="443"/>
      <c r="H36" s="443"/>
      <c r="I36" s="443"/>
      <c r="J36" s="443"/>
    </row>
    <row r="37" spans="1:10" ht="21.75" customHeight="1">
      <c r="A37" s="443"/>
      <c r="B37" s="443"/>
      <c r="C37" s="443"/>
      <c r="D37" s="443"/>
      <c r="E37" s="443"/>
      <c r="F37" s="443"/>
      <c r="G37" s="443"/>
      <c r="H37" s="443"/>
      <c r="I37" s="443"/>
      <c r="J37" s="443"/>
    </row>
    <row r="38" ht="12.75" customHeight="1">
      <c r="A38" s="11" t="str">
        <f>Головна!A32</f>
        <v>Всі ціни вказані станом на 05.07.2019 р.</v>
      </c>
    </row>
  </sheetData>
  <sheetProtection selectLockedCells="1" selectUnlockedCells="1"/>
  <mergeCells count="58">
    <mergeCell ref="E31:F31"/>
    <mergeCell ref="C32:D32"/>
    <mergeCell ref="E32:F32"/>
    <mergeCell ref="A26:F26"/>
    <mergeCell ref="A34:J37"/>
    <mergeCell ref="A29:A32"/>
    <mergeCell ref="B29:B32"/>
    <mergeCell ref="C29:D29"/>
    <mergeCell ref="E29:F29"/>
    <mergeCell ref="C30:D30"/>
    <mergeCell ref="E30:F30"/>
    <mergeCell ref="C31:D31"/>
    <mergeCell ref="C22:D22"/>
    <mergeCell ref="E22:F22"/>
    <mergeCell ref="G26:H26"/>
    <mergeCell ref="A27:B28"/>
    <mergeCell ref="C27:D28"/>
    <mergeCell ref="E27:F28"/>
    <mergeCell ref="G27:H27"/>
    <mergeCell ref="C24:D24"/>
    <mergeCell ref="E24:F24"/>
    <mergeCell ref="C23:D23"/>
    <mergeCell ref="E23:F23"/>
    <mergeCell ref="C18:D18"/>
    <mergeCell ref="E18:F18"/>
    <mergeCell ref="C19:D19"/>
    <mergeCell ref="E19:F19"/>
    <mergeCell ref="C20:D20"/>
    <mergeCell ref="E20:F20"/>
    <mergeCell ref="C21:D21"/>
    <mergeCell ref="E21:F21"/>
    <mergeCell ref="E13:F13"/>
    <mergeCell ref="C14:D14"/>
    <mergeCell ref="E14:F14"/>
    <mergeCell ref="C15:D15"/>
    <mergeCell ref="E15:F15"/>
    <mergeCell ref="C16:D16"/>
    <mergeCell ref="E16:F16"/>
    <mergeCell ref="C9:D9"/>
    <mergeCell ref="E9:F9"/>
    <mergeCell ref="A10:H10"/>
    <mergeCell ref="A8:G8"/>
    <mergeCell ref="I10:J10"/>
    <mergeCell ref="C17:D17"/>
    <mergeCell ref="E17:F17"/>
    <mergeCell ref="C12:D12"/>
    <mergeCell ref="E12:F12"/>
    <mergeCell ref="C13:D13"/>
    <mergeCell ref="C11:D11"/>
    <mergeCell ref="E11:F11"/>
    <mergeCell ref="A1:K2"/>
    <mergeCell ref="A3:K3"/>
    <mergeCell ref="A4:J4"/>
    <mergeCell ref="A5:G5"/>
    <mergeCell ref="H5:I8"/>
    <mergeCell ref="J5:J8"/>
    <mergeCell ref="A6:E6"/>
    <mergeCell ref="A7:G7"/>
  </mergeCells>
  <hyperlinks>
    <hyperlink ref="A8" r:id="rId1" display="www.plastics.ua/industrial/Полиэтилен высокой плотности"/>
    <hyperlink ref="I10" r:id="rId2" display="Смотреть на сайте"/>
    <hyperlink ref="K25" location="Главная!A1" display="на главную"/>
    <hyperlink ref="G26" r:id="rId3" display="Смотреть на сайте"/>
    <hyperlink ref="I32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70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O5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Q16" sqref="Q16"/>
    </sheetView>
  </sheetViews>
  <sheetFormatPr defaultColWidth="8.7109375" defaultRowHeight="12.75"/>
  <cols>
    <col min="1" max="1" width="19.28125" style="48" customWidth="1"/>
    <col min="2" max="2" width="20.00390625" style="48" customWidth="1"/>
    <col min="3" max="3" width="9.57421875" style="48" customWidth="1"/>
    <col min="4" max="4" width="8.28125" style="48" customWidth="1"/>
    <col min="5" max="5" width="12.140625" style="48" customWidth="1"/>
    <col min="6" max="6" width="18.28125" style="48" customWidth="1"/>
    <col min="7" max="7" width="20.140625" style="48" customWidth="1"/>
    <col min="8" max="8" width="9.28125" style="48" customWidth="1"/>
    <col min="9" max="9" width="9.00390625" style="48" customWidth="1"/>
    <col min="10" max="10" width="11.00390625" style="48" customWidth="1"/>
    <col min="11" max="11" width="11.421875" style="48" customWidth="1"/>
    <col min="12" max="12" width="8.57421875" style="12" customWidth="1"/>
    <col min="13" max="16384" width="8.7109375" style="12" customWidth="1"/>
  </cols>
  <sheetData>
    <row r="1" spans="1:11" s="48" customFormat="1" ht="45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2" s="111" customFormat="1" ht="27.75" customHeight="1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110"/>
    </row>
    <row r="3" spans="1:12" s="48" customFormat="1" ht="24.7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48" customFormat="1" ht="15" customHeight="1">
      <c r="A4" s="454" t="s">
        <v>368</v>
      </c>
      <c r="B4" s="454"/>
      <c r="C4" s="454"/>
      <c r="D4" s="454"/>
      <c r="E4" s="454"/>
      <c r="F4" s="454"/>
      <c r="G4" s="454"/>
      <c r="H4" s="454"/>
      <c r="I4" s="454"/>
      <c r="J4" s="112"/>
      <c r="K4" s="112"/>
      <c r="L4" s="112"/>
    </row>
    <row r="5" spans="1:10" s="48" customFormat="1" ht="27.75" customHeight="1">
      <c r="A5" s="447" t="s">
        <v>94</v>
      </c>
      <c r="B5" s="447"/>
      <c r="C5" s="447"/>
      <c r="D5" s="447"/>
      <c r="E5" s="447"/>
      <c r="F5" s="447"/>
      <c r="G5" s="447"/>
      <c r="H5" s="113"/>
      <c r="I5" s="113"/>
      <c r="J5" s="113"/>
    </row>
    <row r="6" spans="1:10" s="48" customFormat="1" ht="21" customHeight="1">
      <c r="A6" s="455" t="s">
        <v>333</v>
      </c>
      <c r="B6" s="455"/>
      <c r="C6" s="455"/>
      <c r="D6" s="455"/>
      <c r="E6" s="455"/>
      <c r="F6" s="455"/>
      <c r="G6" s="455"/>
      <c r="H6" s="113"/>
      <c r="I6" s="113"/>
      <c r="J6" s="113"/>
    </row>
    <row r="7" spans="1:10" s="48" customFormat="1" ht="20.25" customHeight="1">
      <c r="A7" s="452" t="s">
        <v>376</v>
      </c>
      <c r="B7" s="452"/>
      <c r="C7" s="452"/>
      <c r="D7" s="452"/>
      <c r="E7" s="452"/>
      <c r="F7" s="452"/>
      <c r="G7" s="452"/>
      <c r="H7" s="113"/>
      <c r="I7" s="113"/>
      <c r="J7" s="113"/>
    </row>
    <row r="8" spans="1:12" s="48" customFormat="1" ht="13.5" customHeight="1">
      <c r="A8" s="417" t="s">
        <v>181</v>
      </c>
      <c r="B8" s="417"/>
      <c r="C8" s="417"/>
      <c r="D8" s="417"/>
      <c r="E8" s="114"/>
      <c r="F8" s="417" t="s">
        <v>183</v>
      </c>
      <c r="G8" s="417"/>
      <c r="H8" s="417"/>
      <c r="I8" s="417"/>
      <c r="J8" s="417"/>
      <c r="K8" s="417"/>
      <c r="L8" s="417"/>
    </row>
    <row r="9" spans="1:10" s="48" customFormat="1" ht="16.5" customHeight="1">
      <c r="A9" s="456" t="s">
        <v>207</v>
      </c>
      <c r="B9" s="456"/>
      <c r="C9" s="457" t="s">
        <v>269</v>
      </c>
      <c r="D9" s="457"/>
      <c r="E9" s="102"/>
      <c r="F9" s="458" t="s">
        <v>208</v>
      </c>
      <c r="G9" s="458"/>
      <c r="H9" s="457" t="s">
        <v>269</v>
      </c>
      <c r="I9" s="457"/>
      <c r="J9" s="113"/>
    </row>
    <row r="10" spans="1:10" s="48" customFormat="1" ht="16.5" customHeight="1">
      <c r="A10" s="459" t="s">
        <v>369</v>
      </c>
      <c r="B10" s="459"/>
      <c r="C10" s="457"/>
      <c r="D10" s="457"/>
      <c r="E10" s="102"/>
      <c r="F10" s="460" t="s">
        <v>375</v>
      </c>
      <c r="G10" s="460"/>
      <c r="H10" s="457"/>
      <c r="I10" s="457"/>
      <c r="J10" s="113"/>
    </row>
    <row r="11" spans="1:10" s="48" customFormat="1" ht="16.5" customHeight="1">
      <c r="A11" s="461" t="s">
        <v>318</v>
      </c>
      <c r="B11" s="461"/>
      <c r="C11" s="457"/>
      <c r="D11" s="457"/>
      <c r="E11" s="102"/>
      <c r="F11" s="462" t="s">
        <v>318</v>
      </c>
      <c r="G11" s="462"/>
      <c r="H11" s="457"/>
      <c r="I11" s="457"/>
      <c r="J11" s="113"/>
    </row>
    <row r="12" spans="1:10" s="48" customFormat="1" ht="21" customHeight="1">
      <c r="A12" s="75" t="s">
        <v>370</v>
      </c>
      <c r="B12" s="75" t="s">
        <v>371</v>
      </c>
      <c r="C12" s="433" t="s">
        <v>373</v>
      </c>
      <c r="D12" s="433"/>
      <c r="E12" s="102"/>
      <c r="F12" s="75" t="s">
        <v>370</v>
      </c>
      <c r="G12" s="75" t="s">
        <v>371</v>
      </c>
      <c r="H12" s="433" t="s">
        <v>373</v>
      </c>
      <c r="I12" s="433"/>
      <c r="J12" s="113"/>
    </row>
    <row r="13" spans="1:10" s="48" customFormat="1" ht="16.5" customHeight="1">
      <c r="A13" s="80">
        <v>8</v>
      </c>
      <c r="B13" s="115">
        <v>0.1</v>
      </c>
      <c r="C13" s="463">
        <f>Головна!F2*0.83232</f>
        <v>24.470207999999996</v>
      </c>
      <c r="D13" s="463"/>
      <c r="E13" s="105"/>
      <c r="F13" s="80">
        <v>8</v>
      </c>
      <c r="G13" s="115">
        <v>0.1</v>
      </c>
      <c r="H13" s="463">
        <f>Головна!F2*0.82386</f>
        <v>24.221484</v>
      </c>
      <c r="I13" s="463"/>
      <c r="J13" s="113"/>
    </row>
    <row r="14" spans="1:15" ht="16.5" customHeight="1">
      <c r="A14" s="80">
        <v>10</v>
      </c>
      <c r="B14" s="115">
        <v>0.16</v>
      </c>
      <c r="C14" s="463">
        <f>Головна!F2*1.331712</f>
        <v>39.152332799999996</v>
      </c>
      <c r="D14" s="463"/>
      <c r="E14" s="105"/>
      <c r="F14" s="80">
        <v>10</v>
      </c>
      <c r="G14" s="115">
        <v>0.16</v>
      </c>
      <c r="H14" s="463">
        <f>Головна!F2*1.318176</f>
        <v>38.754374399999996</v>
      </c>
      <c r="I14" s="463"/>
      <c r="J14" s="113"/>
      <c r="L14" s="48"/>
      <c r="O14" s="48"/>
    </row>
    <row r="15" spans="1:15" ht="16.5" customHeight="1">
      <c r="A15" s="80">
        <v>12</v>
      </c>
      <c r="B15" s="115">
        <v>0.22</v>
      </c>
      <c r="C15" s="463">
        <f>Головна!F2*1.831104</f>
        <v>53.8344576</v>
      </c>
      <c r="D15" s="463"/>
      <c r="E15" s="105"/>
      <c r="F15" s="80">
        <v>12</v>
      </c>
      <c r="G15" s="115">
        <v>0.22</v>
      </c>
      <c r="H15" s="463">
        <f>Головна!F2*1.812492</f>
        <v>53.287264799999996</v>
      </c>
      <c r="I15" s="463"/>
      <c r="J15" s="113"/>
      <c r="L15" s="48"/>
      <c r="O15" s="48"/>
    </row>
    <row r="16" spans="1:15" ht="16.5" customHeight="1">
      <c r="A16" s="80">
        <v>15</v>
      </c>
      <c r="B16" s="115">
        <v>0.34</v>
      </c>
      <c r="C16" s="463">
        <f>Головна!F2*2.829888</f>
        <v>83.1987072</v>
      </c>
      <c r="D16" s="463"/>
      <c r="E16" s="105"/>
      <c r="F16" s="80">
        <v>15</v>
      </c>
      <c r="G16" s="115">
        <v>0.36</v>
      </c>
      <c r="H16" s="463">
        <f>Головна!F2*2.965896</f>
        <v>87.1973424</v>
      </c>
      <c r="I16" s="463"/>
      <c r="J16" s="113"/>
      <c r="L16" s="48"/>
      <c r="O16" s="48"/>
    </row>
    <row r="17" spans="1:15" ht="16.5" customHeight="1">
      <c r="A17" s="80">
        <v>16</v>
      </c>
      <c r="B17" s="115">
        <v>0.4</v>
      </c>
      <c r="C17" s="463">
        <f>Головна!F2*3.32928</f>
        <v>97.88083199999998</v>
      </c>
      <c r="D17" s="463"/>
      <c r="E17" s="105"/>
      <c r="F17" s="80">
        <v>16</v>
      </c>
      <c r="G17" s="115">
        <v>0.4</v>
      </c>
      <c r="H17" s="463">
        <f>Головна!F2*3.29544</f>
        <v>96.885936</v>
      </c>
      <c r="I17" s="463"/>
      <c r="J17" s="113"/>
      <c r="L17" s="48"/>
      <c r="O17" s="48"/>
    </row>
    <row r="18" spans="1:15" ht="16.5" customHeight="1">
      <c r="A18" s="80">
        <v>18</v>
      </c>
      <c r="B18" s="115">
        <v>0.5</v>
      </c>
      <c r="C18" s="463">
        <f>Головна!F2*4.1616</f>
        <v>122.35104</v>
      </c>
      <c r="D18" s="463"/>
      <c r="E18" s="105"/>
      <c r="F18" s="80">
        <v>18</v>
      </c>
      <c r="G18" s="115">
        <v>0.52</v>
      </c>
      <c r="H18" s="463">
        <f>Головна!F2*4.284072</f>
        <v>125.9517168</v>
      </c>
      <c r="I18" s="463"/>
      <c r="J18" s="113"/>
      <c r="L18" s="48"/>
      <c r="O18" s="48"/>
    </row>
    <row r="19" spans="1:15" ht="16.5" customHeight="1">
      <c r="A19" s="80">
        <v>20</v>
      </c>
      <c r="B19" s="115">
        <v>0.64</v>
      </c>
      <c r="C19" s="463">
        <f>Головна!F2*5.02656</f>
        <v>147.78086399999998</v>
      </c>
      <c r="D19" s="463"/>
      <c r="E19" s="105"/>
      <c r="F19" s="80">
        <v>20</v>
      </c>
      <c r="G19" s="115">
        <v>0.66</v>
      </c>
      <c r="H19" s="463">
        <f>Головна!F2*5.150574</f>
        <v>151.4268756</v>
      </c>
      <c r="I19" s="463"/>
      <c r="J19" s="113"/>
      <c r="L19" s="48"/>
      <c r="O19" s="48"/>
    </row>
    <row r="20" spans="1:15" ht="16.5" customHeight="1">
      <c r="A20" s="80">
        <v>25</v>
      </c>
      <c r="B20" s="115">
        <v>0.98</v>
      </c>
      <c r="C20" s="463">
        <f>Головна!F2*7.69692</f>
        <v>226.289448</v>
      </c>
      <c r="D20" s="463"/>
      <c r="E20" s="105"/>
      <c r="F20" s="80">
        <v>25</v>
      </c>
      <c r="G20" s="115">
        <v>1.02</v>
      </c>
      <c r="H20" s="463">
        <f>Головна!F2*7.959978</f>
        <v>234.0233532</v>
      </c>
      <c r="I20" s="463"/>
      <c r="J20" s="113"/>
      <c r="L20" s="48"/>
      <c r="O20" s="48"/>
    </row>
    <row r="21" spans="1:15" ht="16.5" customHeight="1">
      <c r="A21" s="80">
        <v>30</v>
      </c>
      <c r="B21" s="115">
        <v>1.42</v>
      </c>
      <c r="C21" s="463">
        <f>Головна!F2*11.15268</f>
        <v>327.88879199999997</v>
      </c>
      <c r="D21" s="463"/>
      <c r="E21" s="105"/>
      <c r="F21" s="80">
        <v>30</v>
      </c>
      <c r="G21" s="115">
        <v>1.46</v>
      </c>
      <c r="H21" s="463">
        <f>Головна!F2*11.393694</f>
        <v>334.97460359999997</v>
      </c>
      <c r="I21" s="463"/>
      <c r="J21" s="113"/>
      <c r="L21" s="48"/>
      <c r="O21" s="48"/>
    </row>
    <row r="22" spans="1:15" ht="16.5" customHeight="1">
      <c r="A22" s="80">
        <v>35</v>
      </c>
      <c r="B22" s="115">
        <v>1.88</v>
      </c>
      <c r="C22" s="463">
        <f>Головна!F2*14.76552</f>
        <v>434.106288</v>
      </c>
      <c r="D22" s="463"/>
      <c r="E22" s="105"/>
      <c r="F22" s="80">
        <v>35</v>
      </c>
      <c r="G22" s="115">
        <v>1.96</v>
      </c>
      <c r="H22" s="463">
        <f>Головна!F2*15.295644</f>
        <v>449.69193359999997</v>
      </c>
      <c r="I22" s="463"/>
      <c r="J22" s="113"/>
      <c r="L22" s="48"/>
      <c r="O22" s="48"/>
    </row>
    <row r="23" spans="1:15" ht="16.5" customHeight="1">
      <c r="A23" s="80">
        <v>40</v>
      </c>
      <c r="B23" s="115">
        <v>2.56</v>
      </c>
      <c r="C23" s="463">
        <f>Головна!F2*20.10624</f>
        <v>591.1234559999999</v>
      </c>
      <c r="D23" s="463"/>
      <c r="E23" s="105"/>
      <c r="F23" s="80">
        <v>40</v>
      </c>
      <c r="G23" s="115">
        <v>2.6</v>
      </c>
      <c r="H23" s="463">
        <f>Головна!F2*20.29014</f>
        <v>596.530116</v>
      </c>
      <c r="I23" s="463"/>
      <c r="J23" s="113"/>
      <c r="L23" s="48"/>
      <c r="O23" s="48"/>
    </row>
    <row r="24" spans="1:15" ht="16.5" customHeight="1">
      <c r="A24" s="80">
        <v>45</v>
      </c>
      <c r="B24" s="115">
        <v>3.26</v>
      </c>
      <c r="C24" s="463">
        <f>Головна!F2*25.60404</f>
        <v>752.758776</v>
      </c>
      <c r="D24" s="463"/>
      <c r="E24" s="105"/>
      <c r="F24" s="80">
        <v>42</v>
      </c>
      <c r="G24" s="115">
        <v>2.88</v>
      </c>
      <c r="H24" s="463">
        <f>Головна!F2*22.475232</f>
        <v>660.7718207999999</v>
      </c>
      <c r="I24" s="463"/>
      <c r="J24" s="113"/>
      <c r="L24" s="48"/>
      <c r="O24" s="48"/>
    </row>
    <row r="25" spans="1:15" ht="16.5" customHeight="1">
      <c r="A25" s="80">
        <v>50</v>
      </c>
      <c r="B25" s="115">
        <v>3.54</v>
      </c>
      <c r="C25" s="463">
        <f>Головна!F2*27.80316</f>
        <v>817.4129039999999</v>
      </c>
      <c r="D25" s="463"/>
      <c r="E25" s="105"/>
      <c r="F25" s="80">
        <v>45</v>
      </c>
      <c r="G25" s="115">
        <v>3.4</v>
      </c>
      <c r="H25" s="463">
        <f>Головна!F2*26.53326</f>
        <v>780.0778439999999</v>
      </c>
      <c r="I25" s="463"/>
      <c r="J25" s="113"/>
      <c r="L25" s="48"/>
      <c r="O25" s="48"/>
    </row>
    <row r="26" spans="1:15" ht="16.5" customHeight="1">
      <c r="A26" s="80">
        <v>55</v>
      </c>
      <c r="B26" s="115">
        <v>4.7</v>
      </c>
      <c r="C26" s="463">
        <f>Головна!F2*36.9138</f>
        <v>1085.26572</v>
      </c>
      <c r="D26" s="463"/>
      <c r="E26" s="105"/>
      <c r="F26" s="80">
        <v>50</v>
      </c>
      <c r="G26" s="115">
        <v>4.14</v>
      </c>
      <c r="H26" s="463">
        <f>Головна!F2*32.308146</f>
        <v>949.8594924</v>
      </c>
      <c r="I26" s="463"/>
      <c r="J26" s="113"/>
      <c r="L26" s="48"/>
      <c r="O26" s="48"/>
    </row>
    <row r="27" spans="1:15" ht="16.5" customHeight="1">
      <c r="A27" s="80">
        <v>60</v>
      </c>
      <c r="B27" s="115">
        <v>5.74</v>
      </c>
      <c r="C27" s="463">
        <f>Головна!F2*45.08196</f>
        <v>1325.409624</v>
      </c>
      <c r="D27" s="463"/>
      <c r="E27" s="105"/>
      <c r="F27" s="80">
        <v>55</v>
      </c>
      <c r="G27" s="115">
        <v>4.9</v>
      </c>
      <c r="H27" s="463">
        <f>Головна!F2*38.23911</f>
        <v>1124.2298339999998</v>
      </c>
      <c r="I27" s="463"/>
      <c r="J27" s="113"/>
      <c r="L27" s="48"/>
      <c r="O27" s="48"/>
    </row>
    <row r="28" spans="1:15" ht="16.5" customHeight="1">
      <c r="A28" s="80">
        <v>65</v>
      </c>
      <c r="B28" s="115">
        <v>6.76</v>
      </c>
      <c r="C28" s="463">
        <f>Головна!F2*53.09304</f>
        <v>1560.935376</v>
      </c>
      <c r="D28" s="463"/>
      <c r="E28" s="105"/>
      <c r="F28" s="80">
        <v>60</v>
      </c>
      <c r="G28" s="115">
        <v>5.98</v>
      </c>
      <c r="H28" s="463">
        <f>Головна!F2*46.667322</f>
        <v>1372.0192668</v>
      </c>
      <c r="I28" s="463"/>
      <c r="J28" s="113"/>
      <c r="L28" s="48"/>
      <c r="O28" s="48"/>
    </row>
    <row r="29" spans="1:15" ht="16.5" customHeight="1">
      <c r="A29" s="80">
        <v>70</v>
      </c>
      <c r="B29" s="115">
        <v>7.66</v>
      </c>
      <c r="C29" s="463">
        <f>Головна!F2*60.16164</f>
        <v>1768.7522159999999</v>
      </c>
      <c r="D29" s="463"/>
      <c r="E29" s="105"/>
      <c r="F29" s="80">
        <v>65</v>
      </c>
      <c r="G29" s="115">
        <v>7.06</v>
      </c>
      <c r="H29" s="463">
        <f>Головна!F2*55.095534</f>
        <v>1619.8086996</v>
      </c>
      <c r="I29" s="463"/>
      <c r="J29" s="113"/>
      <c r="L29" s="48"/>
      <c r="O29" s="48"/>
    </row>
    <row r="30" spans="1:15" ht="16.5" customHeight="1">
      <c r="A30" s="80">
        <v>75</v>
      </c>
      <c r="B30" s="115">
        <v>9.3</v>
      </c>
      <c r="C30" s="463">
        <f>Головна!F2*73.0422</f>
        <v>2147.4406799999997</v>
      </c>
      <c r="D30" s="463"/>
      <c r="E30" s="105"/>
      <c r="F30" s="80">
        <v>70</v>
      </c>
      <c r="G30" s="115">
        <v>7.98</v>
      </c>
      <c r="H30" s="463">
        <f>Головна!F2*62.275122</f>
        <v>1830.8885868</v>
      </c>
      <c r="I30" s="463"/>
      <c r="J30" s="113"/>
      <c r="L30" s="48"/>
      <c r="O30" s="48"/>
    </row>
    <row r="31" spans="1:15" ht="16.5" customHeight="1">
      <c r="A31" s="80">
        <v>80</v>
      </c>
      <c r="B31" s="115">
        <v>10.2</v>
      </c>
      <c r="C31" s="463">
        <f>Головна!F2*80.1108</f>
        <v>2355.2575199999997</v>
      </c>
      <c r="D31" s="463"/>
      <c r="E31" s="105"/>
      <c r="F31" s="80">
        <v>75</v>
      </c>
      <c r="G31" s="115">
        <v>9.7</v>
      </c>
      <c r="H31" s="463">
        <f>Головна!F2*75.69783</f>
        <v>2225.516202</v>
      </c>
      <c r="I31" s="463"/>
      <c r="J31" s="113"/>
      <c r="L31" s="48"/>
      <c r="O31" s="48"/>
    </row>
    <row r="32" spans="1:15" ht="16.5" customHeight="1">
      <c r="A32" s="80">
        <v>85</v>
      </c>
      <c r="B32" s="115">
        <v>10.98</v>
      </c>
      <c r="C32" s="463">
        <f>Головна!F2*86.23692</f>
        <v>2535.365448</v>
      </c>
      <c r="D32" s="463"/>
      <c r="E32" s="105"/>
      <c r="F32" s="80">
        <v>80</v>
      </c>
      <c r="G32" s="115">
        <v>10.64</v>
      </c>
      <c r="H32" s="463">
        <f>Головна!F2*83.033496</f>
        <v>2441.1847823999997</v>
      </c>
      <c r="I32" s="463"/>
      <c r="J32" s="113"/>
      <c r="L32" s="48"/>
      <c r="O32" s="48"/>
    </row>
    <row r="33" spans="1:15" ht="16.5" customHeight="1">
      <c r="A33" s="80">
        <v>90</v>
      </c>
      <c r="B33" s="115">
        <v>12.72</v>
      </c>
      <c r="C33" s="463">
        <f>Головна!F2*99.90288</f>
        <v>2937.144672</v>
      </c>
      <c r="D33" s="463"/>
      <c r="E33" s="105"/>
      <c r="F33" s="80">
        <v>85</v>
      </c>
      <c r="G33" s="115">
        <v>11.44</v>
      </c>
      <c r="H33" s="463">
        <f>Головна!F2*89.276616</f>
        <v>2624.7325104</v>
      </c>
      <c r="I33" s="463"/>
      <c r="J33" s="113"/>
      <c r="L33" s="48"/>
      <c r="O33" s="48"/>
    </row>
    <row r="34" spans="1:15" ht="16.5" customHeight="1">
      <c r="A34" s="80">
        <v>100</v>
      </c>
      <c r="B34" s="115">
        <v>15.5</v>
      </c>
      <c r="C34" s="463">
        <f>Головна!F2*121.737</f>
        <v>3579.0678</v>
      </c>
      <c r="D34" s="463"/>
      <c r="E34" s="105"/>
      <c r="F34" s="80">
        <v>90</v>
      </c>
      <c r="G34" s="115">
        <v>13.34</v>
      </c>
      <c r="H34" s="463">
        <f>Головна!F2*104.104026</f>
        <v>3060.6583644</v>
      </c>
      <c r="I34" s="463"/>
      <c r="J34" s="113"/>
      <c r="L34" s="48"/>
      <c r="O34" s="48"/>
    </row>
    <row r="35" spans="1:15" ht="16.5" customHeight="1">
      <c r="A35" s="80">
        <v>110</v>
      </c>
      <c r="B35" s="115">
        <v>19.02</v>
      </c>
      <c r="C35" s="463">
        <f>Головна!F2*149.38308</f>
        <v>4391.862552</v>
      </c>
      <c r="D35" s="463"/>
      <c r="E35" s="105"/>
      <c r="F35" s="80">
        <v>100</v>
      </c>
      <c r="G35" s="115">
        <v>16.18</v>
      </c>
      <c r="H35" s="463">
        <f>Головна!F2*126.267102</f>
        <v>3712.2527987999997</v>
      </c>
      <c r="I35" s="463"/>
      <c r="J35" s="113"/>
      <c r="L35" s="48"/>
      <c r="O35" s="48"/>
    </row>
    <row r="36" spans="1:15" ht="16.5" customHeight="1">
      <c r="A36" s="80">
        <v>120</v>
      </c>
      <c r="B36" s="115">
        <v>22.6</v>
      </c>
      <c r="C36" s="463">
        <f>Головна!F2*177.5004</f>
        <v>5218.51176</v>
      </c>
      <c r="D36" s="463"/>
      <c r="E36" s="105"/>
      <c r="F36" s="80">
        <v>110</v>
      </c>
      <c r="G36" s="115">
        <v>19.84</v>
      </c>
      <c r="H36" s="463">
        <f>Головна!F2*154.829376</f>
        <v>4551.9836544</v>
      </c>
      <c r="I36" s="463"/>
      <c r="J36" s="113"/>
      <c r="L36" s="48"/>
      <c r="O36" s="48"/>
    </row>
    <row r="37" spans="1:15" ht="16.5" customHeight="1">
      <c r="A37" s="80">
        <v>125</v>
      </c>
      <c r="B37" s="115">
        <v>24.24</v>
      </c>
      <c r="C37" s="463">
        <f>Головна!F2*190.38096</f>
        <v>5597.200223999999</v>
      </c>
      <c r="D37" s="463"/>
      <c r="E37" s="105"/>
      <c r="F37" s="80">
        <v>120</v>
      </c>
      <c r="G37" s="115">
        <v>23.38</v>
      </c>
      <c r="H37" s="463">
        <f>Головна!F2*182.455182</f>
        <v>5364.1823508</v>
      </c>
      <c r="I37" s="463"/>
      <c r="J37" s="113"/>
      <c r="L37" s="48"/>
      <c r="O37" s="48"/>
    </row>
    <row r="38" spans="1:15" ht="16.5" customHeight="1">
      <c r="A38" s="80">
        <v>130</v>
      </c>
      <c r="B38" s="115">
        <v>26.54</v>
      </c>
      <c r="C38" s="463">
        <f>Головна!F2*208.44516</f>
        <v>6128.287703999999</v>
      </c>
      <c r="D38" s="463"/>
      <c r="E38" s="105"/>
      <c r="F38" s="80">
        <v>125</v>
      </c>
      <c r="G38" s="115">
        <v>25.28</v>
      </c>
      <c r="H38" s="463">
        <f>Головна!F2*197.282592</f>
        <v>5800.1082048</v>
      </c>
      <c r="I38" s="463"/>
      <c r="J38" s="113"/>
      <c r="L38" s="48"/>
      <c r="O38" s="48"/>
    </row>
    <row r="39" spans="1:15" ht="16.5" customHeight="1">
      <c r="A39" s="80">
        <v>135</v>
      </c>
      <c r="B39" s="115">
        <v>28.12</v>
      </c>
      <c r="C39" s="463">
        <f>Головна!F2*220.85448</f>
        <v>6493.121711999999</v>
      </c>
      <c r="D39" s="463"/>
      <c r="E39" s="105"/>
      <c r="F39" s="80">
        <v>130</v>
      </c>
      <c r="G39" s="115">
        <v>27.4</v>
      </c>
      <c r="H39" s="463">
        <f>Головна!F2*213.82686</f>
        <v>6286.509684</v>
      </c>
      <c r="I39" s="463"/>
      <c r="J39" s="113"/>
      <c r="L39" s="48"/>
      <c r="O39" s="48"/>
    </row>
    <row r="40" spans="1:15" ht="16.5" customHeight="1">
      <c r="A40" s="80">
        <v>140</v>
      </c>
      <c r="B40" s="115">
        <v>29.9</v>
      </c>
      <c r="C40" s="463">
        <f>Головна!F2*234.8346</f>
        <v>6904.137239999999</v>
      </c>
      <c r="D40" s="463"/>
      <c r="E40" s="105"/>
      <c r="F40" s="80">
        <v>135</v>
      </c>
      <c r="G40" s="115">
        <v>29.34</v>
      </c>
      <c r="H40" s="463">
        <f>Головна!F2*228.966426</f>
        <v>6731.6129244</v>
      </c>
      <c r="I40" s="463"/>
      <c r="J40" s="113"/>
      <c r="L40" s="48"/>
      <c r="O40" s="48"/>
    </row>
    <row r="41" spans="1:15" ht="16.5" customHeight="1">
      <c r="A41" s="80">
        <v>150</v>
      </c>
      <c r="B41" s="115">
        <v>35.54</v>
      </c>
      <c r="C41" s="463">
        <f>Головна!F2*279.13116</f>
        <v>8206.456104</v>
      </c>
      <c r="D41" s="463"/>
      <c r="E41" s="105"/>
      <c r="F41" s="80">
        <v>140</v>
      </c>
      <c r="G41" s="115">
        <v>31.2</v>
      </c>
      <c r="H41" s="463">
        <f>Головна!F2*243.48168</f>
        <v>7158.361392</v>
      </c>
      <c r="I41" s="463"/>
      <c r="J41" s="113"/>
      <c r="L41" s="48"/>
      <c r="O41" s="48"/>
    </row>
    <row r="42" spans="1:15" ht="16.5" customHeight="1">
      <c r="A42" s="80">
        <v>160</v>
      </c>
      <c r="B42" s="115">
        <v>39.6</v>
      </c>
      <c r="C42" s="463">
        <f>Головна!F2*311.0184</f>
        <v>9143.94096</v>
      </c>
      <c r="D42" s="463"/>
      <c r="E42" s="105"/>
      <c r="F42" s="80">
        <v>150</v>
      </c>
      <c r="G42" s="115">
        <v>37.1</v>
      </c>
      <c r="H42" s="463">
        <f>Головна!F2*289.52469</f>
        <v>8512.025886</v>
      </c>
      <c r="I42" s="463"/>
      <c r="J42" s="113"/>
      <c r="L42" s="48"/>
      <c r="O42" s="48"/>
    </row>
    <row r="43" spans="1:15" ht="16.5" customHeight="1">
      <c r="A43" s="80">
        <v>165</v>
      </c>
      <c r="B43" s="115">
        <v>42.02</v>
      </c>
      <c r="C43" s="463">
        <f>Головна!F2*330.02508</f>
        <v>9702.737352</v>
      </c>
      <c r="D43" s="463"/>
      <c r="E43" s="105"/>
      <c r="F43" s="80">
        <v>160</v>
      </c>
      <c r="G43" s="115">
        <v>41.32</v>
      </c>
      <c r="H43" s="463">
        <f>Головна!F2*322.457148</f>
        <v>9480.2401512</v>
      </c>
      <c r="I43" s="463"/>
      <c r="J43" s="113"/>
      <c r="L43" s="48"/>
      <c r="O43" s="48"/>
    </row>
    <row r="44" spans="1:15" ht="16.5" customHeight="1">
      <c r="A44" s="80">
        <v>170</v>
      </c>
      <c r="B44" s="115">
        <v>45.06</v>
      </c>
      <c r="C44" s="463">
        <f>Головна!F2*353.90124</f>
        <v>10404.696455999998</v>
      </c>
      <c r="D44" s="463"/>
      <c r="E44" s="105"/>
      <c r="F44" s="80">
        <v>165</v>
      </c>
      <c r="G44" s="115">
        <v>43.84</v>
      </c>
      <c r="H44" s="463">
        <f>Головна!F2*342.122976</f>
        <v>10058.4154944</v>
      </c>
      <c r="I44" s="463"/>
      <c r="J44" s="113"/>
      <c r="L44" s="48"/>
      <c r="O44" s="48"/>
    </row>
    <row r="45" spans="1:15" ht="16.5" customHeight="1">
      <c r="A45" s="80">
        <v>180</v>
      </c>
      <c r="B45" s="115">
        <v>50.76</v>
      </c>
      <c r="C45" s="463">
        <f>Головна!F2*398.66904</f>
        <v>11720.869776</v>
      </c>
      <c r="D45" s="463"/>
      <c r="E45" s="105"/>
      <c r="F45" s="80">
        <v>170</v>
      </c>
      <c r="G45" s="115">
        <v>47.02</v>
      </c>
      <c r="H45" s="463">
        <f>Головна!F2*366.939378</f>
        <v>10788.017713199999</v>
      </c>
      <c r="I45" s="463"/>
      <c r="J45" s="113"/>
      <c r="L45" s="48"/>
      <c r="O45" s="48"/>
    </row>
    <row r="46" spans="1:10" s="48" customFormat="1" ht="16.5" customHeight="1">
      <c r="A46" s="80">
        <v>200</v>
      </c>
      <c r="B46" s="115">
        <v>63.42</v>
      </c>
      <c r="C46" s="463">
        <f>Головна!F2*498.10068</f>
        <v>14644.159991999999</v>
      </c>
      <c r="D46" s="463"/>
      <c r="E46" s="105"/>
      <c r="F46" s="80">
        <v>180</v>
      </c>
      <c r="G46" s="115">
        <v>52.96</v>
      </c>
      <c r="H46" s="463">
        <f>Головна!F2*413.294544</f>
        <v>12150.859593599998</v>
      </c>
      <c r="I46" s="463"/>
      <c r="J46" s="113"/>
    </row>
    <row r="47" spans="1:15" ht="15">
      <c r="A47" s="80">
        <v>225</v>
      </c>
      <c r="B47" s="115">
        <v>79.48</v>
      </c>
      <c r="C47" s="463">
        <f>Головна!F2*661.527936</f>
        <v>19448.921318399996</v>
      </c>
      <c r="D47" s="463"/>
      <c r="E47" s="105"/>
      <c r="F47" s="80">
        <v>200</v>
      </c>
      <c r="G47" s="115">
        <v>66.16</v>
      </c>
      <c r="H47" s="463">
        <f>Головна!F2*516.306024</f>
        <v>15179.3971056</v>
      </c>
      <c r="I47" s="463"/>
      <c r="J47" s="116"/>
      <c r="K47" s="12"/>
      <c r="L47" s="48"/>
      <c r="O47" s="48"/>
    </row>
    <row r="48" spans="1:15" ht="15">
      <c r="A48" s="80">
        <v>250</v>
      </c>
      <c r="B48" s="115">
        <v>99.02</v>
      </c>
      <c r="C48" s="465">
        <f>Головна!F2*824.163264</f>
        <v>24230.3999616</v>
      </c>
      <c r="D48" s="465"/>
      <c r="E48" s="105"/>
      <c r="F48" s="80">
        <v>225</v>
      </c>
      <c r="G48" s="115">
        <v>82.16</v>
      </c>
      <c r="H48" s="465">
        <f>Головна!F2*676.883376</f>
        <v>19900.371254399997</v>
      </c>
      <c r="I48" s="465"/>
      <c r="J48" s="116"/>
      <c r="K48" s="12"/>
      <c r="L48" s="48"/>
      <c r="O48" s="48"/>
    </row>
    <row r="49" spans="1:15" ht="15">
      <c r="A49" s="82">
        <v>300</v>
      </c>
      <c r="B49" s="117">
        <v>138.92</v>
      </c>
      <c r="C49" s="464">
        <f>Головна!F2*1156.258944</f>
        <v>33994.012953599995</v>
      </c>
      <c r="D49" s="464"/>
      <c r="E49" s="105"/>
      <c r="F49" s="80">
        <v>250</v>
      </c>
      <c r="G49" s="115">
        <v>103.34</v>
      </c>
      <c r="H49" s="465">
        <f>Головна!F2*851.376924</f>
        <v>25030.4815656</v>
      </c>
      <c r="I49" s="465"/>
      <c r="J49" s="116"/>
      <c r="K49" s="12"/>
      <c r="L49" s="48"/>
      <c r="O49" s="48"/>
    </row>
    <row r="50" spans="1:15" ht="15">
      <c r="A50" s="116"/>
      <c r="B50" s="116"/>
      <c r="C50" s="116"/>
      <c r="D50" s="116"/>
      <c r="E50" s="34" t="s">
        <v>226</v>
      </c>
      <c r="F50" s="118">
        <v>300</v>
      </c>
      <c r="G50" s="119">
        <v>144.96</v>
      </c>
      <c r="H50" s="464">
        <f>Головна!F2*1194.267456</f>
        <v>35111.463206399996</v>
      </c>
      <c r="I50" s="464"/>
      <c r="K50" s="12"/>
      <c r="O50" s="48"/>
    </row>
    <row r="51" spans="1:11" ht="15">
      <c r="A51" s="116"/>
      <c r="B51" s="116"/>
      <c r="C51" s="116"/>
      <c r="D51" s="116"/>
      <c r="E51" s="116"/>
      <c r="F51" s="116"/>
      <c r="G51" s="116"/>
      <c r="H51" s="116"/>
      <c r="I51" s="116"/>
      <c r="J51" s="120" t="s">
        <v>226</v>
      </c>
      <c r="K51" s="12"/>
    </row>
    <row r="52" spans="1:11" ht="15">
      <c r="A52" s="11" t="str">
        <f>Головна!A32</f>
        <v>Всі ціни вказані станом на 05.07.2019 р.</v>
      </c>
      <c r="K52" s="12"/>
    </row>
  </sheetData>
  <sheetProtection selectLockedCells="1" selectUnlockedCells="1"/>
  <mergeCells count="93">
    <mergeCell ref="H50:I50"/>
    <mergeCell ref="C48:D48"/>
    <mergeCell ref="H48:I48"/>
    <mergeCell ref="C49:D49"/>
    <mergeCell ref="H49:I49"/>
    <mergeCell ref="C44:D44"/>
    <mergeCell ref="H44:I44"/>
    <mergeCell ref="C45:D45"/>
    <mergeCell ref="H45:I45"/>
    <mergeCell ref="C46:D46"/>
    <mergeCell ref="H46:I46"/>
    <mergeCell ref="C39:D39"/>
    <mergeCell ref="H39:I39"/>
    <mergeCell ref="C40:D40"/>
    <mergeCell ref="H40:I40"/>
    <mergeCell ref="C47:D47"/>
    <mergeCell ref="H47:I47"/>
    <mergeCell ref="C42:D42"/>
    <mergeCell ref="H42:I42"/>
    <mergeCell ref="C43:D43"/>
    <mergeCell ref="H43:I43"/>
    <mergeCell ref="C34:D34"/>
    <mergeCell ref="H34:I34"/>
    <mergeCell ref="C41:D41"/>
    <mergeCell ref="H41:I41"/>
    <mergeCell ref="C36:D36"/>
    <mergeCell ref="H36:I36"/>
    <mergeCell ref="C37:D37"/>
    <mergeCell ref="H37:I37"/>
    <mergeCell ref="C38:D38"/>
    <mergeCell ref="H38:I38"/>
    <mergeCell ref="C35:D35"/>
    <mergeCell ref="H35:I35"/>
    <mergeCell ref="C30:D30"/>
    <mergeCell ref="H30:I30"/>
    <mergeCell ref="C31:D31"/>
    <mergeCell ref="H31:I31"/>
    <mergeCell ref="C32:D32"/>
    <mergeCell ref="H32:I32"/>
    <mergeCell ref="C33:D33"/>
    <mergeCell ref="H33:I33"/>
    <mergeCell ref="C26:D26"/>
    <mergeCell ref="H26:I26"/>
    <mergeCell ref="C27:D27"/>
    <mergeCell ref="H27:I27"/>
    <mergeCell ref="C28:D28"/>
    <mergeCell ref="H28:I28"/>
    <mergeCell ref="C21:D21"/>
    <mergeCell ref="H21:I21"/>
    <mergeCell ref="C22:D22"/>
    <mergeCell ref="H22:I22"/>
    <mergeCell ref="C29:D29"/>
    <mergeCell ref="H29:I29"/>
    <mergeCell ref="C24:D24"/>
    <mergeCell ref="H24:I24"/>
    <mergeCell ref="C25:D25"/>
    <mergeCell ref="H25:I25"/>
    <mergeCell ref="C16:D16"/>
    <mergeCell ref="H16:I16"/>
    <mergeCell ref="C23:D23"/>
    <mergeCell ref="H23:I23"/>
    <mergeCell ref="C18:D18"/>
    <mergeCell ref="H18:I18"/>
    <mergeCell ref="C19:D19"/>
    <mergeCell ref="H19:I19"/>
    <mergeCell ref="C20:D20"/>
    <mergeCell ref="H20:I20"/>
    <mergeCell ref="C17:D17"/>
    <mergeCell ref="H17:I17"/>
    <mergeCell ref="C12:D12"/>
    <mergeCell ref="H12:I12"/>
    <mergeCell ref="C13:D13"/>
    <mergeCell ref="H13:I13"/>
    <mergeCell ref="C14:D14"/>
    <mergeCell ref="H14:I14"/>
    <mergeCell ref="C15:D15"/>
    <mergeCell ref="H15:I15"/>
    <mergeCell ref="A8:D8"/>
    <mergeCell ref="F8:L8"/>
    <mergeCell ref="A9:B9"/>
    <mergeCell ref="C9:D11"/>
    <mergeCell ref="F9:G9"/>
    <mergeCell ref="H9:I11"/>
    <mergeCell ref="A10:B10"/>
    <mergeCell ref="F10:G10"/>
    <mergeCell ref="A11:B11"/>
    <mergeCell ref="F11:G11"/>
    <mergeCell ref="A7:G7"/>
    <mergeCell ref="A1:K2"/>
    <mergeCell ref="A3:L3"/>
    <mergeCell ref="A4:I4"/>
    <mergeCell ref="A5:G5"/>
    <mergeCell ref="A6:G6"/>
  </mergeCells>
  <hyperlinks>
    <hyperlink ref="A8" r:id="rId1" display="http://plastics.ua/industrial/Полипропилен"/>
    <hyperlink ref="F8" r:id="rId2" display="www.plastics.ua/industrial/Полиэтилен 300"/>
    <hyperlink ref="C9" r:id="rId3" display="Смотреть на сайте"/>
    <hyperlink ref="H9" r:id="rId4" display="Смотреть на сайте"/>
    <hyperlink ref="E50" location="Главная!A1" display="на главную"/>
    <hyperlink ref="J51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65" r:id="rId6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T38"/>
  <sheetViews>
    <sheetView view="pageBreakPreview" zoomScale="85" zoomScaleNormal="75" zoomScaleSheetLayoutView="85" zoomScalePageLayoutView="0" workbookViewId="0" topLeftCell="A1">
      <pane ySplit="3" topLeftCell="A9" activePane="bottomLeft" state="frozen"/>
      <selection pane="topLeft" activeCell="A1" sqref="A1"/>
      <selection pane="bottomLeft" activeCell="S14" sqref="S14"/>
    </sheetView>
  </sheetViews>
  <sheetFormatPr defaultColWidth="8.7109375" defaultRowHeight="12.75"/>
  <cols>
    <col min="1" max="1" width="19.28125" style="48" customWidth="1"/>
    <col min="2" max="2" width="11.57421875" style="48" customWidth="1"/>
    <col min="3" max="3" width="7.140625" style="48" customWidth="1"/>
    <col min="4" max="4" width="7.28125" style="48" customWidth="1"/>
    <col min="5" max="5" width="8.00390625" style="48" customWidth="1"/>
    <col min="6" max="6" width="9.7109375" style="48" customWidth="1"/>
    <col min="7" max="7" width="10.7109375" style="48" customWidth="1"/>
    <col min="8" max="8" width="8.140625" style="48" customWidth="1"/>
    <col min="9" max="9" width="9.00390625" style="48" customWidth="1"/>
    <col min="10" max="10" width="8.140625" style="48" customWidth="1"/>
    <col min="11" max="11" width="9.8515625" style="48" customWidth="1"/>
    <col min="12" max="12" width="10.8515625" style="12" customWidth="1"/>
    <col min="13" max="14" width="8.7109375" style="12" customWidth="1"/>
    <col min="15" max="15" width="8.57421875" style="12" customWidth="1"/>
    <col min="16" max="16384" width="8.7109375" style="12" customWidth="1"/>
  </cols>
  <sheetData>
    <row r="1" spans="1:11" s="48" customFormat="1" ht="4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2" s="111" customFormat="1" ht="21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110"/>
    </row>
    <row r="3" spans="1:12" s="48" customFormat="1" ht="34.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s="48" customFormat="1" ht="15" customHeight="1">
      <c r="A4" s="454" t="s">
        <v>377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</row>
    <row r="5" spans="1:12" s="48" customFormat="1" ht="26.25" customHeight="1">
      <c r="A5" s="447" t="s">
        <v>94</v>
      </c>
      <c r="B5" s="447"/>
      <c r="C5" s="447"/>
      <c r="D5" s="447"/>
      <c r="E5" s="447"/>
      <c r="F5" s="447"/>
      <c r="G5" s="447"/>
      <c r="H5" s="466"/>
      <c r="I5" s="466"/>
      <c r="J5" s="466"/>
      <c r="K5" s="466"/>
      <c r="L5" s="466"/>
    </row>
    <row r="6" spans="1:12" s="48" customFormat="1" ht="15.75" customHeight="1">
      <c r="A6" s="455" t="s">
        <v>333</v>
      </c>
      <c r="B6" s="455"/>
      <c r="C6" s="455"/>
      <c r="D6" s="455"/>
      <c r="E6" s="455"/>
      <c r="F6" s="455"/>
      <c r="G6" s="455"/>
      <c r="H6" s="466"/>
      <c r="I6" s="466"/>
      <c r="J6" s="466"/>
      <c r="K6" s="466"/>
      <c r="L6" s="466"/>
    </row>
    <row r="7" spans="1:12" s="48" customFormat="1" ht="15.75" customHeight="1">
      <c r="A7" s="452" t="s">
        <v>376</v>
      </c>
      <c r="B7" s="452"/>
      <c r="C7" s="452"/>
      <c r="D7" s="452"/>
      <c r="E7" s="452"/>
      <c r="F7" s="452"/>
      <c r="G7" s="452"/>
      <c r="H7" s="466"/>
      <c r="I7" s="466"/>
      <c r="J7" s="466"/>
      <c r="K7" s="466"/>
      <c r="L7" s="466"/>
    </row>
    <row r="8" spans="1:12" s="48" customFormat="1" ht="14.25" customHeight="1">
      <c r="A8" s="467" t="s">
        <v>181</v>
      </c>
      <c r="B8" s="467"/>
      <c r="C8" s="467"/>
      <c r="D8" s="467"/>
      <c r="E8" s="467"/>
      <c r="F8" s="467"/>
      <c r="G8" s="467"/>
      <c r="H8" s="466"/>
      <c r="I8" s="466"/>
      <c r="J8" s="466"/>
      <c r="K8" s="466"/>
      <c r="L8" s="466"/>
    </row>
    <row r="9" spans="1:12" s="48" customFormat="1" ht="16.5" customHeight="1">
      <c r="A9" s="468" t="s">
        <v>184</v>
      </c>
      <c r="B9" s="468"/>
      <c r="C9" s="468"/>
      <c r="D9" s="468"/>
      <c r="E9" s="468"/>
      <c r="F9" s="468"/>
      <c r="G9" s="468"/>
      <c r="H9" s="466"/>
      <c r="I9" s="466"/>
      <c r="J9" s="466"/>
      <c r="K9" s="466"/>
      <c r="L9" s="466"/>
    </row>
    <row r="10" spans="1:12" s="48" customFormat="1" ht="20.25" customHeight="1">
      <c r="A10" s="469" t="s">
        <v>358</v>
      </c>
      <c r="B10" s="469" t="s">
        <v>378</v>
      </c>
      <c r="C10" s="470" t="s">
        <v>379</v>
      </c>
      <c r="D10" s="470"/>
      <c r="E10" s="470"/>
      <c r="F10" s="470"/>
      <c r="G10" s="470"/>
      <c r="H10" s="470" t="s">
        <v>380</v>
      </c>
      <c r="I10" s="470"/>
      <c r="J10" s="470"/>
      <c r="K10" s="470"/>
      <c r="L10" s="470"/>
    </row>
    <row r="11" spans="1:12" s="48" customFormat="1" ht="15">
      <c r="A11" s="469"/>
      <c r="B11" s="469"/>
      <c r="C11" s="470"/>
      <c r="D11" s="470"/>
      <c r="E11" s="470"/>
      <c r="F11" s="470"/>
      <c r="G11" s="470"/>
      <c r="H11" s="470"/>
      <c r="I11" s="470"/>
      <c r="J11" s="470"/>
      <c r="K11" s="470"/>
      <c r="L11" s="470"/>
    </row>
    <row r="12" spans="1:12" ht="12.75">
      <c r="A12" s="469"/>
      <c r="B12" s="469"/>
      <c r="C12" s="470"/>
      <c r="D12" s="470"/>
      <c r="E12" s="470"/>
      <c r="F12" s="470"/>
      <c r="G12" s="470"/>
      <c r="H12" s="470"/>
      <c r="I12" s="470"/>
      <c r="J12" s="470"/>
      <c r="K12" s="470"/>
      <c r="L12" s="470"/>
    </row>
    <row r="13" spans="1:12" ht="15.75" customHeight="1">
      <c r="A13" s="469"/>
      <c r="B13" s="469"/>
      <c r="C13" s="471" t="s">
        <v>340</v>
      </c>
      <c r="D13" s="471"/>
      <c r="E13" s="471"/>
      <c r="F13" s="471"/>
      <c r="G13" s="471"/>
      <c r="H13" s="472" t="s">
        <v>341</v>
      </c>
      <c r="I13" s="472"/>
      <c r="J13" s="472"/>
      <c r="K13" s="472"/>
      <c r="L13" s="472"/>
    </row>
    <row r="14" spans="1:12" ht="18.75" customHeight="1">
      <c r="A14" s="469"/>
      <c r="B14" s="469"/>
      <c r="C14" s="469" t="s">
        <v>223</v>
      </c>
      <c r="D14" s="469"/>
      <c r="E14" s="469"/>
      <c r="F14" s="123" t="s">
        <v>321</v>
      </c>
      <c r="G14" s="121" t="s">
        <v>372</v>
      </c>
      <c r="H14" s="471" t="s">
        <v>223</v>
      </c>
      <c r="I14" s="471"/>
      <c r="J14" s="471"/>
      <c r="K14" s="123" t="s">
        <v>321</v>
      </c>
      <c r="L14" s="121" t="s">
        <v>372</v>
      </c>
    </row>
    <row r="15" spans="1:12" s="13" customFormat="1" ht="15">
      <c r="A15" s="469"/>
      <c r="B15" s="469"/>
      <c r="C15" s="123" t="s">
        <v>95</v>
      </c>
      <c r="D15" s="124" t="s">
        <v>96</v>
      </c>
      <c r="E15" s="124" t="s">
        <v>97</v>
      </c>
      <c r="F15" s="123" t="s">
        <v>98</v>
      </c>
      <c r="G15" s="122" t="s">
        <v>374</v>
      </c>
      <c r="H15" s="123" t="s">
        <v>95</v>
      </c>
      <c r="I15" s="124" t="s">
        <v>96</v>
      </c>
      <c r="J15" s="124" t="s">
        <v>97</v>
      </c>
      <c r="K15" s="123" t="s">
        <v>98</v>
      </c>
      <c r="L15" s="122" t="s">
        <v>374</v>
      </c>
    </row>
    <row r="16" spans="1:12" ht="31.5" customHeight="1">
      <c r="A16" s="473"/>
      <c r="B16" s="125" t="s">
        <v>99</v>
      </c>
      <c r="C16" s="125">
        <v>35</v>
      </c>
      <c r="D16" s="125">
        <v>35</v>
      </c>
      <c r="E16" s="126">
        <v>3</v>
      </c>
      <c r="F16" s="127">
        <v>0.367307692307692</v>
      </c>
      <c r="G16" s="64">
        <f>Головна!F2*27.65826</f>
        <v>813.152844</v>
      </c>
      <c r="H16" s="125">
        <v>35</v>
      </c>
      <c r="I16" s="125">
        <v>35</v>
      </c>
      <c r="J16" s="126">
        <v>3</v>
      </c>
      <c r="K16" s="127">
        <v>0.35</v>
      </c>
      <c r="L16" s="59">
        <f>Головна!F2*46</f>
        <v>1352.3999999999999</v>
      </c>
    </row>
    <row r="17" spans="1:12" ht="31.5" customHeight="1">
      <c r="A17" s="473"/>
      <c r="B17" s="62" t="s">
        <v>100</v>
      </c>
      <c r="C17" s="125">
        <v>35</v>
      </c>
      <c r="D17" s="125">
        <v>35</v>
      </c>
      <c r="E17" s="128">
        <v>4</v>
      </c>
      <c r="F17" s="129">
        <v>0.472252747252747</v>
      </c>
      <c r="G17" s="63">
        <f>Головна!F2*34.80246</f>
        <v>1023.1923240000001</v>
      </c>
      <c r="H17" s="125">
        <v>35</v>
      </c>
      <c r="I17" s="125">
        <v>35</v>
      </c>
      <c r="J17" s="128">
        <v>4</v>
      </c>
      <c r="K17" s="129">
        <v>0.45</v>
      </c>
      <c r="L17" s="63">
        <f>Головна!F2*33.06744</f>
        <v>972.1827359999999</v>
      </c>
    </row>
    <row r="18" spans="1:12" ht="31.5" customHeight="1">
      <c r="A18" s="473"/>
      <c r="B18" s="62" t="s">
        <v>101</v>
      </c>
      <c r="C18" s="62">
        <v>50</v>
      </c>
      <c r="D18" s="62">
        <v>50</v>
      </c>
      <c r="E18" s="128">
        <v>4</v>
      </c>
      <c r="F18" s="129">
        <v>0.703131868131868</v>
      </c>
      <c r="G18" s="63">
        <f>Головна!F2*51.33618</f>
        <v>1509.283692</v>
      </c>
      <c r="H18" s="62">
        <v>50</v>
      </c>
      <c r="I18" s="62">
        <v>50</v>
      </c>
      <c r="J18" s="128">
        <v>4</v>
      </c>
      <c r="K18" s="129">
        <v>0.67</v>
      </c>
      <c r="L18" s="61">
        <f>Головна!F2*48.68262</f>
        <v>1431.269028</v>
      </c>
    </row>
    <row r="19" spans="1:20" ht="31.5" customHeight="1">
      <c r="A19" s="473"/>
      <c r="B19" s="66" t="s">
        <v>102</v>
      </c>
      <c r="C19" s="130">
        <v>60</v>
      </c>
      <c r="D19" s="130">
        <v>60</v>
      </c>
      <c r="E19" s="131">
        <v>4</v>
      </c>
      <c r="F19" s="132">
        <v>0.839560439560439</v>
      </c>
      <c r="G19" s="67">
        <f>Головна!F2*60.82776</f>
        <v>1788.3361439999999</v>
      </c>
      <c r="H19" s="130">
        <v>60</v>
      </c>
      <c r="I19" s="130">
        <v>60</v>
      </c>
      <c r="J19" s="131">
        <v>4</v>
      </c>
      <c r="K19" s="132">
        <v>0.8</v>
      </c>
      <c r="L19" s="67">
        <f>Головна!F2*57.86802</f>
        <v>1701.319788</v>
      </c>
      <c r="N19" s="381"/>
      <c r="O19" s="382"/>
      <c r="P19" s="382"/>
      <c r="Q19" s="382"/>
      <c r="R19" s="382"/>
      <c r="S19" s="382"/>
      <c r="T19" s="382"/>
    </row>
    <row r="20" spans="1:12" ht="15.75">
      <c r="A20" s="474"/>
      <c r="B20" s="73" t="s">
        <v>103</v>
      </c>
      <c r="C20" s="73">
        <v>49</v>
      </c>
      <c r="D20" s="73">
        <v>46</v>
      </c>
      <c r="E20" s="133">
        <v>4</v>
      </c>
      <c r="F20" s="134">
        <v>0.503736263736264</v>
      </c>
      <c r="G20" s="74">
        <f>Головна!F2*38.37456</f>
        <v>1128.212064</v>
      </c>
      <c r="H20" s="73">
        <v>49</v>
      </c>
      <c r="I20" s="73">
        <v>46</v>
      </c>
      <c r="J20" s="133">
        <v>4</v>
      </c>
      <c r="K20" s="134">
        <v>0.48</v>
      </c>
      <c r="L20" s="135">
        <f>Головна!F2*38.37456</f>
        <v>1128.212064</v>
      </c>
    </row>
    <row r="21" spans="1:12" ht="15" customHeight="1">
      <c r="A21" s="474"/>
      <c r="B21" s="62" t="s">
        <v>104</v>
      </c>
      <c r="C21" s="62">
        <v>49</v>
      </c>
      <c r="D21" s="62">
        <v>72</v>
      </c>
      <c r="E21" s="136">
        <v>4</v>
      </c>
      <c r="F21" s="129">
        <v>0.703131868131868</v>
      </c>
      <c r="G21" s="63">
        <f>Головна!F2*51.64236</f>
        <v>1518.2853839999998</v>
      </c>
      <c r="H21" s="62">
        <v>49</v>
      </c>
      <c r="I21" s="62">
        <v>72</v>
      </c>
      <c r="J21" s="136">
        <v>4</v>
      </c>
      <c r="K21" s="129">
        <v>0.67</v>
      </c>
      <c r="L21" s="61">
        <f>Головна!F2*51.64236</f>
        <v>1518.2853839999998</v>
      </c>
    </row>
    <row r="22" spans="1:12" ht="15">
      <c r="A22" s="474"/>
      <c r="B22" s="62" t="s">
        <v>105</v>
      </c>
      <c r="C22" s="62">
        <v>49</v>
      </c>
      <c r="D22" s="62">
        <v>112</v>
      </c>
      <c r="E22" s="136">
        <v>4</v>
      </c>
      <c r="F22" s="129">
        <v>1.00747252747253</v>
      </c>
      <c r="G22" s="63">
        <f>Головна!F2*73.78938</f>
        <v>2169.4077719999996</v>
      </c>
      <c r="H22" s="62">
        <v>49</v>
      </c>
      <c r="I22" s="62">
        <v>112</v>
      </c>
      <c r="J22" s="136">
        <v>4</v>
      </c>
      <c r="K22" s="129">
        <v>0.96</v>
      </c>
      <c r="L22" s="63">
        <f>Головна!F2*73.78938</f>
        <v>2169.4077719999996</v>
      </c>
    </row>
    <row r="23" spans="1:12" ht="15">
      <c r="A23" s="474"/>
      <c r="B23" s="62" t="s">
        <v>106</v>
      </c>
      <c r="C23" s="62">
        <v>49</v>
      </c>
      <c r="D23" s="62">
        <v>132</v>
      </c>
      <c r="E23" s="136">
        <v>4</v>
      </c>
      <c r="F23" s="129">
        <v>1.1543956043956</v>
      </c>
      <c r="G23" s="63">
        <f>Головна!F2*84.7098</f>
        <v>2490.46812</v>
      </c>
      <c r="H23" s="62">
        <v>49</v>
      </c>
      <c r="I23" s="62">
        <v>132</v>
      </c>
      <c r="J23" s="136">
        <v>4</v>
      </c>
      <c r="K23" s="129">
        <v>1.1</v>
      </c>
      <c r="L23" s="63">
        <f>Головна!F2*84.7098</f>
        <v>2490.46812</v>
      </c>
    </row>
    <row r="24" spans="1:12" ht="15">
      <c r="A24" s="474"/>
      <c r="B24" s="62" t="s">
        <v>107</v>
      </c>
      <c r="C24" s="62">
        <v>69</v>
      </c>
      <c r="D24" s="62">
        <v>72</v>
      </c>
      <c r="E24" s="136">
        <v>4</v>
      </c>
      <c r="F24" s="129">
        <v>0.7870879120879121</v>
      </c>
      <c r="G24" s="63">
        <f>Головна!F2*57.25566</f>
        <v>1683.316404</v>
      </c>
      <c r="H24" s="62">
        <v>69</v>
      </c>
      <c r="I24" s="62">
        <v>72</v>
      </c>
      <c r="J24" s="136">
        <v>4</v>
      </c>
      <c r="K24" s="129">
        <v>0.75</v>
      </c>
      <c r="L24" s="63">
        <f>Головна!F2*57.25566</f>
        <v>1683.316404</v>
      </c>
    </row>
    <row r="25" spans="1:12" ht="15">
      <c r="A25" s="474"/>
      <c r="B25" s="62" t="s">
        <v>108</v>
      </c>
      <c r="C25" s="62">
        <v>69</v>
      </c>
      <c r="D25" s="62">
        <v>92</v>
      </c>
      <c r="E25" s="136">
        <v>4</v>
      </c>
      <c r="F25" s="129">
        <v>0.944505494505494</v>
      </c>
      <c r="G25" s="63">
        <f>Головна!F2*69.4008</f>
        <v>2040.38352</v>
      </c>
      <c r="H25" s="62">
        <v>69</v>
      </c>
      <c r="I25" s="62">
        <v>92</v>
      </c>
      <c r="J25" s="136">
        <v>4</v>
      </c>
      <c r="K25" s="129">
        <v>0.9</v>
      </c>
      <c r="L25" s="63">
        <f>Головна!F2*64.91016</f>
        <v>1908.358704</v>
      </c>
    </row>
    <row r="26" spans="1:12" ht="15">
      <c r="A26" s="474"/>
      <c r="B26" s="62" t="s">
        <v>109</v>
      </c>
      <c r="C26" s="62">
        <v>69</v>
      </c>
      <c r="D26" s="62">
        <v>153</v>
      </c>
      <c r="E26" s="136">
        <v>4</v>
      </c>
      <c r="F26" s="129">
        <v>1.39576923076923</v>
      </c>
      <c r="G26" s="63">
        <f>Головна!F2*101.85588</f>
        <v>2994.562872</v>
      </c>
      <c r="H26" s="62">
        <v>69</v>
      </c>
      <c r="I26" s="62">
        <v>153</v>
      </c>
      <c r="J26" s="136">
        <v>4</v>
      </c>
      <c r="K26" s="129">
        <v>1.33</v>
      </c>
      <c r="L26" s="63">
        <f>Головна!F2*101.85588</f>
        <v>2994.562872</v>
      </c>
    </row>
    <row r="27" spans="1:13" ht="15">
      <c r="A27" s="474"/>
      <c r="B27" s="66" t="s">
        <v>110</v>
      </c>
      <c r="C27" s="66">
        <v>90</v>
      </c>
      <c r="D27" s="66">
        <v>92</v>
      </c>
      <c r="E27" s="137">
        <v>4</v>
      </c>
      <c r="F27" s="132">
        <v>1.01796703296703</v>
      </c>
      <c r="G27" s="67">
        <f>Головна!F2*73.78938</f>
        <v>2169.4077719999996</v>
      </c>
      <c r="H27" s="66">
        <v>90</v>
      </c>
      <c r="I27" s="66">
        <v>92</v>
      </c>
      <c r="J27" s="137">
        <v>4</v>
      </c>
      <c r="K27" s="132">
        <v>0.97</v>
      </c>
      <c r="L27" s="67">
        <f>Головна!F2*73.78938</f>
        <v>2169.4077719999996</v>
      </c>
      <c r="M27" s="34" t="s">
        <v>226</v>
      </c>
    </row>
    <row r="28" spans="1:12" ht="1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05"/>
    </row>
    <row r="29" spans="1:12" ht="15" customHeight="1">
      <c r="A29" s="475" t="s">
        <v>381</v>
      </c>
      <c r="B29" s="475"/>
      <c r="C29" s="475"/>
      <c r="D29" s="475"/>
      <c r="E29" s="475"/>
      <c r="F29" s="475"/>
      <c r="G29" s="475"/>
      <c r="H29" s="116"/>
      <c r="I29" s="116"/>
      <c r="J29" s="116"/>
      <c r="K29" s="116"/>
      <c r="L29" s="105"/>
    </row>
    <row r="30" spans="1:12" ht="15.75" customHeight="1">
      <c r="A30" s="476"/>
      <c r="B30" s="477" t="s">
        <v>223</v>
      </c>
      <c r="C30" s="477"/>
      <c r="D30" s="477"/>
      <c r="E30" s="477"/>
      <c r="F30" s="478" t="s">
        <v>372</v>
      </c>
      <c r="G30" s="478"/>
      <c r="H30" s="116"/>
      <c r="I30" s="116"/>
      <c r="J30" s="116"/>
      <c r="K30" s="116"/>
      <c r="L30" s="105"/>
    </row>
    <row r="31" spans="1:12" ht="15">
      <c r="A31" s="476"/>
      <c r="B31" s="477"/>
      <c r="C31" s="477"/>
      <c r="D31" s="477"/>
      <c r="E31" s="477"/>
      <c r="F31" s="478"/>
      <c r="G31" s="478"/>
      <c r="H31" s="116"/>
      <c r="I31" s="116"/>
      <c r="J31" s="116"/>
      <c r="K31" s="116"/>
      <c r="L31" s="105"/>
    </row>
    <row r="32" spans="1:12" ht="15" customHeight="1">
      <c r="A32" s="476"/>
      <c r="B32" s="479" t="s">
        <v>317</v>
      </c>
      <c r="C32" s="479"/>
      <c r="D32" s="479" t="s">
        <v>111</v>
      </c>
      <c r="E32" s="479" t="s">
        <v>112</v>
      </c>
      <c r="F32" s="479" t="s">
        <v>374</v>
      </c>
      <c r="G32" s="479"/>
      <c r="H32" s="116"/>
      <c r="I32" s="116"/>
      <c r="J32" s="116"/>
      <c r="K32" s="116"/>
      <c r="L32" s="105"/>
    </row>
    <row r="33" spans="1:12" ht="15">
      <c r="A33" s="476"/>
      <c r="B33" s="479"/>
      <c r="C33" s="479"/>
      <c r="D33" s="479"/>
      <c r="E33" s="479"/>
      <c r="F33" s="479"/>
      <c r="G33" s="479"/>
      <c r="H33" s="116"/>
      <c r="I33" s="116"/>
      <c r="J33" s="116"/>
      <c r="K33" s="116"/>
      <c r="L33" s="105"/>
    </row>
    <row r="34" spans="1:12" ht="15.75" customHeight="1">
      <c r="A34" s="476"/>
      <c r="B34" s="481">
        <v>100000</v>
      </c>
      <c r="C34" s="481"/>
      <c r="D34" s="138">
        <v>25</v>
      </c>
      <c r="E34" s="138">
        <v>3.5</v>
      </c>
      <c r="F34" s="482">
        <f>Головна!F2*320</f>
        <v>9408</v>
      </c>
      <c r="G34" s="482"/>
      <c r="H34" s="116"/>
      <c r="I34" s="116"/>
      <c r="J34" s="116"/>
      <c r="K34" s="116"/>
      <c r="L34" s="105"/>
    </row>
    <row r="35" spans="1:12" ht="18" customHeight="1">
      <c r="A35" s="476"/>
      <c r="B35" s="483">
        <v>8000</v>
      </c>
      <c r="C35" s="483"/>
      <c r="D35" s="139">
        <v>32</v>
      </c>
      <c r="E35" s="139">
        <v>4.2</v>
      </c>
      <c r="F35" s="484">
        <f>Головна!F2*34</f>
        <v>999.5999999999999</v>
      </c>
      <c r="G35" s="484"/>
      <c r="H35" s="120" t="s">
        <v>226</v>
      </c>
      <c r="I35" s="116"/>
      <c r="J35" s="116"/>
      <c r="K35" s="116"/>
      <c r="L35" s="105"/>
    </row>
    <row r="36" spans="1:12" ht="12.75">
      <c r="A36" s="480" t="s">
        <v>382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</row>
    <row r="37" ht="15">
      <c r="M37" s="34" t="s">
        <v>226</v>
      </c>
    </row>
    <row r="38" ht="15">
      <c r="A38" s="11" t="str">
        <f>Головна!A32</f>
        <v>Всі ціни вказані станом на 05.07.2019 р.</v>
      </c>
    </row>
  </sheetData>
  <sheetProtection selectLockedCells="1" selectUnlockedCells="1"/>
  <mergeCells count="33">
    <mergeCell ref="A36:L36"/>
    <mergeCell ref="B34:C34"/>
    <mergeCell ref="F34:G34"/>
    <mergeCell ref="B35:C35"/>
    <mergeCell ref="F35:G35"/>
    <mergeCell ref="A16:A19"/>
    <mergeCell ref="A20:A27"/>
    <mergeCell ref="A29:G29"/>
    <mergeCell ref="A30:A35"/>
    <mergeCell ref="B30:E31"/>
    <mergeCell ref="F30:G31"/>
    <mergeCell ref="B32:C33"/>
    <mergeCell ref="D32:D33"/>
    <mergeCell ref="E32:E33"/>
    <mergeCell ref="F32:G33"/>
    <mergeCell ref="A10:A15"/>
    <mergeCell ref="B10:B15"/>
    <mergeCell ref="C10:G12"/>
    <mergeCell ref="H10:L12"/>
    <mergeCell ref="C13:G13"/>
    <mergeCell ref="H13:L13"/>
    <mergeCell ref="C14:E14"/>
    <mergeCell ref="H14:J14"/>
    <mergeCell ref="A1:K2"/>
    <mergeCell ref="A3:L3"/>
    <mergeCell ref="A4:L4"/>
    <mergeCell ref="A5:G5"/>
    <mergeCell ref="H5:J9"/>
    <mergeCell ref="K5:L9"/>
    <mergeCell ref="A6:G6"/>
    <mergeCell ref="A7:G7"/>
    <mergeCell ref="A8:G8"/>
    <mergeCell ref="A9:G9"/>
  </mergeCells>
  <hyperlinks>
    <hyperlink ref="A8" r:id="rId1" display="http://plastics.ua/industrial/Полипропилен"/>
    <hyperlink ref="A9" r:id="rId2" display="http://plastics.ua/industrial/Полиэтилен ВП"/>
    <hyperlink ref="M27" location="Главная!A1" display="на главную"/>
    <hyperlink ref="H35" location="Главная!A1" display="на главную"/>
    <hyperlink ref="M37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landscape" paperSize="9" scale="70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M4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U14" sqref="U14"/>
    </sheetView>
  </sheetViews>
  <sheetFormatPr defaultColWidth="9.140625" defaultRowHeight="12.75"/>
  <cols>
    <col min="1" max="1" width="20.57421875" style="48" customWidth="1"/>
    <col min="2" max="2" width="31.8515625" style="48" customWidth="1"/>
    <col min="3" max="3" width="8.140625" style="48" customWidth="1"/>
    <col min="4" max="4" width="5.7109375" style="48" customWidth="1"/>
    <col min="5" max="5" width="8.28125" style="48" customWidth="1"/>
    <col min="6" max="7" width="8.00390625" style="48" customWidth="1"/>
    <col min="8" max="8" width="9.28125" style="48" customWidth="1"/>
    <col min="9" max="9" width="10.8515625" style="48" customWidth="1"/>
    <col min="10" max="10" width="12.28125" style="48" customWidth="1"/>
    <col min="11" max="11" width="9.28125" style="48" customWidth="1"/>
    <col min="12" max="16384" width="9.140625" style="48" customWidth="1"/>
  </cols>
  <sheetData>
    <row r="1" spans="1:11" ht="45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3" s="14" customFormat="1" ht="21.75" customHeigh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110"/>
      <c r="M2" s="111"/>
    </row>
    <row r="3" spans="1:13" s="14" customFormat="1" ht="17.2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8"/>
    </row>
    <row r="4" spans="1:10" s="14" customFormat="1" ht="33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</row>
    <row r="5" spans="1:10" ht="15.75" customHeight="1">
      <c r="A5" s="454" t="s">
        <v>383</v>
      </c>
      <c r="B5" s="454"/>
      <c r="C5" s="454"/>
      <c r="D5" s="454"/>
      <c r="E5" s="454"/>
      <c r="F5" s="454"/>
      <c r="G5" s="454"/>
      <c r="H5" s="454"/>
      <c r="I5" s="454"/>
      <c r="J5" s="454"/>
    </row>
    <row r="6" spans="1:10" ht="26.25" customHeight="1">
      <c r="A6" s="447" t="s">
        <v>113</v>
      </c>
      <c r="B6" s="447"/>
      <c r="C6" s="447"/>
      <c r="D6" s="447"/>
      <c r="E6" s="485"/>
      <c r="F6" s="485"/>
      <c r="G6" s="485"/>
      <c r="H6" s="485"/>
      <c r="I6" s="486"/>
      <c r="J6" s="486"/>
    </row>
    <row r="7" spans="1:10" ht="16.5" customHeight="1">
      <c r="A7" s="408" t="s">
        <v>332</v>
      </c>
      <c r="B7" s="408"/>
      <c r="C7" s="408"/>
      <c r="D7" s="408"/>
      <c r="E7" s="485"/>
      <c r="F7" s="485"/>
      <c r="G7" s="485"/>
      <c r="H7" s="485"/>
      <c r="I7" s="486"/>
      <c r="J7" s="486"/>
    </row>
    <row r="8" spans="1:10" ht="15.75" customHeight="1">
      <c r="A8" s="416" t="s">
        <v>384</v>
      </c>
      <c r="B8" s="416"/>
      <c r="C8" s="416"/>
      <c r="D8" s="416"/>
      <c r="E8" s="485"/>
      <c r="F8" s="485"/>
      <c r="G8" s="485"/>
      <c r="H8" s="485"/>
      <c r="I8" s="486"/>
      <c r="J8" s="486"/>
    </row>
    <row r="9" spans="1:10" ht="15.75" customHeight="1">
      <c r="A9" s="417" t="s">
        <v>196</v>
      </c>
      <c r="B9" s="417"/>
      <c r="C9" s="417"/>
      <c r="D9" s="417"/>
      <c r="E9" s="485"/>
      <c r="F9" s="485"/>
      <c r="G9" s="485"/>
      <c r="H9" s="485"/>
      <c r="I9" s="486"/>
      <c r="J9" s="486"/>
    </row>
    <row r="10" spans="1:11" ht="95.25" customHeight="1">
      <c r="A10" s="141" t="s">
        <v>222</v>
      </c>
      <c r="B10" s="141" t="s">
        <v>312</v>
      </c>
      <c r="C10" s="142" t="s">
        <v>314</v>
      </c>
      <c r="D10" s="142" t="s">
        <v>315</v>
      </c>
      <c r="E10" s="142" t="s">
        <v>78</v>
      </c>
      <c r="F10" s="142" t="s">
        <v>317</v>
      </c>
      <c r="G10" s="142" t="s">
        <v>542</v>
      </c>
      <c r="H10" s="142" t="s">
        <v>323</v>
      </c>
      <c r="I10" s="143" t="s">
        <v>338</v>
      </c>
      <c r="J10" s="143" t="s">
        <v>322</v>
      </c>
      <c r="K10" s="58"/>
    </row>
    <row r="11" spans="1:11" ht="19.5" customHeight="1">
      <c r="A11" s="491" t="s">
        <v>385</v>
      </c>
      <c r="B11" s="491"/>
      <c r="C11" s="491"/>
      <c r="D11" s="491"/>
      <c r="E11" s="491"/>
      <c r="F11" s="491"/>
      <c r="G11" s="491"/>
      <c r="H11" s="393" t="s">
        <v>269</v>
      </c>
      <c r="I11" s="393"/>
      <c r="J11" s="393"/>
      <c r="K11" s="58"/>
    </row>
    <row r="12" spans="1:11" ht="15" customHeight="1">
      <c r="A12" s="492" t="s">
        <v>197</v>
      </c>
      <c r="B12" s="492" t="s">
        <v>386</v>
      </c>
      <c r="C12" s="144">
        <v>0.96</v>
      </c>
      <c r="D12" s="145">
        <v>1</v>
      </c>
      <c r="E12" s="146">
        <v>1000</v>
      </c>
      <c r="F12" s="146">
        <v>2000</v>
      </c>
      <c r="G12" s="147">
        <f aca="true" t="shared" si="0" ref="G12:G21">D12/1000*C12*1000</f>
        <v>0.9600000000000001</v>
      </c>
      <c r="H12" s="148">
        <f aca="true" t="shared" si="1" ref="H12:H21">D12/1000*E12/1000*F12/1000*C12*1000</f>
        <v>1.9200000000000002</v>
      </c>
      <c r="I12" s="149">
        <f aca="true" t="shared" si="2" ref="I12:I21">H12*K12</f>
        <v>356.4916992</v>
      </c>
      <c r="J12" s="150">
        <f aca="true" t="shared" si="3" ref="J12:J21">I12/(F12*E12/1000000)</f>
        <v>178.2458496</v>
      </c>
      <c r="K12" s="58">
        <f>Головна!F2*6.3154</f>
        <v>185.67276</v>
      </c>
    </row>
    <row r="13" spans="1:11" ht="15">
      <c r="A13" s="492"/>
      <c r="B13" s="492"/>
      <c r="C13" s="151">
        <v>0.96</v>
      </c>
      <c r="D13" s="152">
        <v>2</v>
      </c>
      <c r="E13" s="153">
        <v>1000</v>
      </c>
      <c r="F13" s="153">
        <v>2000</v>
      </c>
      <c r="G13" s="154">
        <f t="shared" si="0"/>
        <v>1.9200000000000002</v>
      </c>
      <c r="H13" s="154">
        <f t="shared" si="1"/>
        <v>3.8400000000000003</v>
      </c>
      <c r="I13" s="151">
        <f t="shared" si="2"/>
        <v>700.6551552000001</v>
      </c>
      <c r="J13" s="150">
        <f t="shared" si="3"/>
        <v>350.32757760000004</v>
      </c>
      <c r="K13" s="58">
        <f>Головна!F$2*6.2062</f>
        <v>182.46228</v>
      </c>
    </row>
    <row r="14" spans="1:11" ht="15">
      <c r="A14" s="492"/>
      <c r="B14" s="492"/>
      <c r="C14" s="151">
        <v>0.96</v>
      </c>
      <c r="D14" s="152">
        <v>3</v>
      </c>
      <c r="E14" s="153">
        <v>1000</v>
      </c>
      <c r="F14" s="153">
        <v>2000</v>
      </c>
      <c r="G14" s="154">
        <f t="shared" si="0"/>
        <v>2.88</v>
      </c>
      <c r="H14" s="154">
        <f t="shared" si="1"/>
        <v>5.76</v>
      </c>
      <c r="I14" s="151">
        <f t="shared" si="2"/>
        <v>1050.9827328</v>
      </c>
      <c r="J14" s="150">
        <f t="shared" si="3"/>
        <v>525.4913664</v>
      </c>
      <c r="K14" s="58">
        <f>Головна!F$2*6.2062</f>
        <v>182.46228</v>
      </c>
    </row>
    <row r="15" spans="1:11" ht="15">
      <c r="A15" s="492"/>
      <c r="B15" s="492"/>
      <c r="C15" s="151">
        <v>0.96</v>
      </c>
      <c r="D15" s="152">
        <v>4</v>
      </c>
      <c r="E15" s="153">
        <v>1000</v>
      </c>
      <c r="F15" s="153">
        <v>2000</v>
      </c>
      <c r="G15" s="154">
        <f t="shared" si="0"/>
        <v>3.8400000000000003</v>
      </c>
      <c r="H15" s="154">
        <f t="shared" si="1"/>
        <v>7.680000000000001</v>
      </c>
      <c r="I15" s="151">
        <f t="shared" si="2"/>
        <v>1401.3103104000002</v>
      </c>
      <c r="J15" s="150">
        <f t="shared" si="3"/>
        <v>700.6551552000001</v>
      </c>
      <c r="K15" s="58">
        <f>Головна!F$2*6.2062</f>
        <v>182.46228</v>
      </c>
    </row>
    <row r="16" spans="1:11" ht="15.75">
      <c r="A16" s="492"/>
      <c r="B16" s="492"/>
      <c r="C16" s="155">
        <v>0.96</v>
      </c>
      <c r="D16" s="156">
        <v>5</v>
      </c>
      <c r="E16" s="157">
        <v>1000</v>
      </c>
      <c r="F16" s="157">
        <v>2000</v>
      </c>
      <c r="G16" s="158">
        <f t="shared" si="0"/>
        <v>4.8</v>
      </c>
      <c r="H16" s="158">
        <f t="shared" si="1"/>
        <v>9.6</v>
      </c>
      <c r="I16" s="155">
        <f t="shared" si="2"/>
        <v>1751.637888</v>
      </c>
      <c r="J16" s="159">
        <f t="shared" si="3"/>
        <v>875.818944</v>
      </c>
      <c r="K16" s="58">
        <f>Головна!F$2*6.2062</f>
        <v>182.46228</v>
      </c>
    </row>
    <row r="17" spans="1:11" ht="15">
      <c r="A17" s="492"/>
      <c r="B17" s="492"/>
      <c r="C17" s="151">
        <v>0.96</v>
      </c>
      <c r="D17" s="152">
        <v>6</v>
      </c>
      <c r="E17" s="153">
        <v>1000</v>
      </c>
      <c r="F17" s="153">
        <v>2000</v>
      </c>
      <c r="G17" s="154">
        <f t="shared" si="0"/>
        <v>5.76</v>
      </c>
      <c r="H17" s="154">
        <f t="shared" si="1"/>
        <v>11.52</v>
      </c>
      <c r="I17" s="151">
        <f t="shared" si="2"/>
        <v>2101.9654656</v>
      </c>
      <c r="J17" s="150">
        <f t="shared" si="3"/>
        <v>1050.9827328</v>
      </c>
      <c r="K17" s="58">
        <f>Головна!F$2*6.2062</f>
        <v>182.46228</v>
      </c>
    </row>
    <row r="18" spans="1:11" ht="15">
      <c r="A18" s="492"/>
      <c r="B18" s="492"/>
      <c r="C18" s="151">
        <v>0.96</v>
      </c>
      <c r="D18" s="152">
        <v>8</v>
      </c>
      <c r="E18" s="153">
        <v>1000</v>
      </c>
      <c r="F18" s="153">
        <v>2000</v>
      </c>
      <c r="G18" s="154">
        <f t="shared" si="0"/>
        <v>7.680000000000001</v>
      </c>
      <c r="H18" s="154">
        <f t="shared" si="1"/>
        <v>15.360000000000001</v>
      </c>
      <c r="I18" s="151">
        <f t="shared" si="2"/>
        <v>2802.6206208000003</v>
      </c>
      <c r="J18" s="150">
        <f t="shared" si="3"/>
        <v>1401.3103104000002</v>
      </c>
      <c r="K18" s="58">
        <f>Головна!F$2*6.2062</f>
        <v>182.46228</v>
      </c>
    </row>
    <row r="19" spans="1:11" ht="15">
      <c r="A19" s="492"/>
      <c r="B19" s="492"/>
      <c r="C19" s="151">
        <v>0.96</v>
      </c>
      <c r="D19" s="152">
        <v>10</v>
      </c>
      <c r="E19" s="153">
        <v>1000</v>
      </c>
      <c r="F19" s="153">
        <v>2000</v>
      </c>
      <c r="G19" s="154">
        <f t="shared" si="0"/>
        <v>9.6</v>
      </c>
      <c r="H19" s="154">
        <f t="shared" si="1"/>
        <v>19.2</v>
      </c>
      <c r="I19" s="151">
        <f t="shared" si="2"/>
        <v>3503.275776</v>
      </c>
      <c r="J19" s="150">
        <f t="shared" si="3"/>
        <v>1751.637888</v>
      </c>
      <c r="K19" s="58">
        <f>Головна!F$2*6.2062</f>
        <v>182.46228</v>
      </c>
    </row>
    <row r="20" spans="1:11" ht="15">
      <c r="A20" s="492"/>
      <c r="B20" s="492"/>
      <c r="C20" s="151">
        <v>0.96</v>
      </c>
      <c r="D20" s="152">
        <v>12</v>
      </c>
      <c r="E20" s="153">
        <v>1000</v>
      </c>
      <c r="F20" s="153">
        <v>2000</v>
      </c>
      <c r="G20" s="154">
        <f t="shared" si="0"/>
        <v>11.52</v>
      </c>
      <c r="H20" s="154">
        <f t="shared" si="1"/>
        <v>23.04</v>
      </c>
      <c r="I20" s="151">
        <f t="shared" si="2"/>
        <v>4203.9309312</v>
      </c>
      <c r="J20" s="150">
        <f t="shared" si="3"/>
        <v>2101.9654656</v>
      </c>
      <c r="K20" s="58">
        <f>Головна!F$2*6.2062</f>
        <v>182.46228</v>
      </c>
    </row>
    <row r="21" spans="1:11" ht="15">
      <c r="A21" s="492"/>
      <c r="B21" s="492"/>
      <c r="C21" s="160">
        <v>0.96</v>
      </c>
      <c r="D21" s="161">
        <v>15</v>
      </c>
      <c r="E21" s="162">
        <v>1000</v>
      </c>
      <c r="F21" s="162">
        <v>2000</v>
      </c>
      <c r="G21" s="163">
        <f t="shared" si="0"/>
        <v>14.4</v>
      </c>
      <c r="H21" s="164">
        <f t="shared" si="1"/>
        <v>28.8</v>
      </c>
      <c r="I21" s="165">
        <f t="shared" si="2"/>
        <v>5254.913664</v>
      </c>
      <c r="J21" s="150">
        <f t="shared" si="3"/>
        <v>2627.456832</v>
      </c>
      <c r="K21" s="58">
        <f>Головна!F$2*6.2062</f>
        <v>182.46228</v>
      </c>
    </row>
    <row r="22" spans="1:11" ht="20.25" customHeight="1">
      <c r="A22" s="489" t="s">
        <v>387</v>
      </c>
      <c r="B22" s="489"/>
      <c r="C22" s="489"/>
      <c r="D22" s="489"/>
      <c r="E22" s="489"/>
      <c r="F22" s="489"/>
      <c r="G22" s="489"/>
      <c r="H22" s="393" t="s">
        <v>269</v>
      </c>
      <c r="I22" s="393"/>
      <c r="J22" s="393"/>
      <c r="K22" s="34" t="s">
        <v>226</v>
      </c>
    </row>
    <row r="23" spans="1:11" ht="15.75" customHeight="1">
      <c r="A23" s="490" t="s">
        <v>198</v>
      </c>
      <c r="B23" s="490" t="s">
        <v>386</v>
      </c>
      <c r="C23" s="166">
        <v>0.96</v>
      </c>
      <c r="D23" s="167">
        <v>10</v>
      </c>
      <c r="E23" s="167">
        <v>1000</v>
      </c>
      <c r="F23" s="167">
        <v>2000</v>
      </c>
      <c r="G23" s="168">
        <f aca="true" t="shared" si="4" ref="G23:G36">D23/1000*C23*1000</f>
        <v>9.6</v>
      </c>
      <c r="H23" s="169">
        <f aca="true" t="shared" si="5" ref="H23:H36">D23/1000*E23/1000*F23/1000*C23*1000</f>
        <v>19.2</v>
      </c>
      <c r="I23" s="169">
        <f aca="true" t="shared" si="6" ref="I23:I36">H23*K23</f>
        <v>3494.1312</v>
      </c>
      <c r="J23" s="169">
        <f aca="true" t="shared" si="7" ref="J23:J36">I23/(F23*E23/1000000)</f>
        <v>1747.0656</v>
      </c>
      <c r="K23" s="58">
        <f>Головна!F2*6.19</f>
        <v>181.986</v>
      </c>
    </row>
    <row r="24" spans="1:11" ht="15">
      <c r="A24" s="490"/>
      <c r="B24" s="490"/>
      <c r="C24" s="170">
        <v>0.96</v>
      </c>
      <c r="D24" s="152">
        <v>12</v>
      </c>
      <c r="E24" s="152">
        <v>1000</v>
      </c>
      <c r="F24" s="152">
        <v>2000</v>
      </c>
      <c r="G24" s="151">
        <f t="shared" si="4"/>
        <v>11.52</v>
      </c>
      <c r="H24" s="151">
        <f t="shared" si="5"/>
        <v>23.04</v>
      </c>
      <c r="I24" s="151">
        <f t="shared" si="6"/>
        <v>4084.57728</v>
      </c>
      <c r="J24" s="151">
        <f t="shared" si="7"/>
        <v>2042.28864</v>
      </c>
      <c r="K24" s="58">
        <f>Головна!F2*6.03</f>
        <v>177.282</v>
      </c>
    </row>
    <row r="25" spans="1:11" ht="15.75">
      <c r="A25" s="490"/>
      <c r="B25" s="490"/>
      <c r="C25" s="171">
        <v>0.96</v>
      </c>
      <c r="D25" s="156">
        <v>15</v>
      </c>
      <c r="E25" s="156">
        <v>1000</v>
      </c>
      <c r="F25" s="156">
        <v>2000</v>
      </c>
      <c r="G25" s="155">
        <f t="shared" si="4"/>
        <v>14.4</v>
      </c>
      <c r="H25" s="155">
        <f t="shared" si="5"/>
        <v>28.8</v>
      </c>
      <c r="I25" s="155">
        <f t="shared" si="6"/>
        <v>4390.2432</v>
      </c>
      <c r="J25" s="155">
        <f t="shared" si="7"/>
        <v>2195.1216</v>
      </c>
      <c r="K25" s="58">
        <f>Головна!F2*5.185</f>
        <v>152.439</v>
      </c>
    </row>
    <row r="26" spans="1:11" ht="15.75">
      <c r="A26" s="490"/>
      <c r="B26" s="490"/>
      <c r="C26" s="171">
        <v>0.96</v>
      </c>
      <c r="D26" s="156">
        <v>20</v>
      </c>
      <c r="E26" s="156">
        <v>1000</v>
      </c>
      <c r="F26" s="156">
        <v>2000</v>
      </c>
      <c r="G26" s="155">
        <f t="shared" si="4"/>
        <v>19.2</v>
      </c>
      <c r="H26" s="155">
        <f t="shared" si="5"/>
        <v>38.4</v>
      </c>
      <c r="I26" s="155">
        <f t="shared" si="6"/>
        <v>5788.177919999999</v>
      </c>
      <c r="J26" s="155">
        <f t="shared" si="7"/>
        <v>2894.0889599999996</v>
      </c>
      <c r="K26" s="58">
        <f>Головна!F2*5.127</f>
        <v>150.73379999999997</v>
      </c>
    </row>
    <row r="27" spans="1:11" ht="15">
      <c r="A27" s="490"/>
      <c r="B27" s="490"/>
      <c r="C27" s="170">
        <v>0.96</v>
      </c>
      <c r="D27" s="152">
        <v>25</v>
      </c>
      <c r="E27" s="152">
        <v>1000</v>
      </c>
      <c r="F27" s="152">
        <v>2000</v>
      </c>
      <c r="G27" s="151">
        <f t="shared" si="4"/>
        <v>24</v>
      </c>
      <c r="H27" s="151">
        <f t="shared" si="5"/>
        <v>48</v>
      </c>
      <c r="I27" s="151">
        <f t="shared" si="6"/>
        <v>7181.5968</v>
      </c>
      <c r="J27" s="151">
        <f t="shared" si="7"/>
        <v>3590.7984</v>
      </c>
      <c r="K27" s="58">
        <f>Головна!F2*5.089</f>
        <v>149.6166</v>
      </c>
    </row>
    <row r="28" spans="1:11" ht="15.75">
      <c r="A28" s="490"/>
      <c r="B28" s="490"/>
      <c r="C28" s="171">
        <v>0.96</v>
      </c>
      <c r="D28" s="156">
        <v>30</v>
      </c>
      <c r="E28" s="156">
        <v>1000</v>
      </c>
      <c r="F28" s="156">
        <v>2000</v>
      </c>
      <c r="G28" s="155">
        <f t="shared" si="4"/>
        <v>28.8</v>
      </c>
      <c r="H28" s="155">
        <f t="shared" si="5"/>
        <v>57.6</v>
      </c>
      <c r="I28" s="155">
        <f t="shared" si="6"/>
        <v>8617.91616</v>
      </c>
      <c r="J28" s="155">
        <f t="shared" si="7"/>
        <v>4308.95808</v>
      </c>
      <c r="K28" s="58">
        <f>Головна!F2*5.089</f>
        <v>149.6166</v>
      </c>
    </row>
    <row r="29" spans="1:11" ht="15">
      <c r="A29" s="490"/>
      <c r="B29" s="490"/>
      <c r="C29" s="170">
        <v>0.96</v>
      </c>
      <c r="D29" s="152">
        <v>35</v>
      </c>
      <c r="E29" s="152">
        <v>1000</v>
      </c>
      <c r="F29" s="152">
        <v>2000</v>
      </c>
      <c r="G29" s="151">
        <f t="shared" si="4"/>
        <v>33.6</v>
      </c>
      <c r="H29" s="151">
        <f t="shared" si="5"/>
        <v>67.2</v>
      </c>
      <c r="I29" s="151">
        <f t="shared" si="6"/>
        <v>10054.23552</v>
      </c>
      <c r="J29" s="151">
        <f t="shared" si="7"/>
        <v>5027.11776</v>
      </c>
      <c r="K29" s="58">
        <f>Головна!F2*5.089</f>
        <v>149.6166</v>
      </c>
    </row>
    <row r="30" spans="1:11" ht="15.75">
      <c r="A30" s="490"/>
      <c r="B30" s="490"/>
      <c r="C30" s="171">
        <v>0.96</v>
      </c>
      <c r="D30" s="156">
        <v>40</v>
      </c>
      <c r="E30" s="156">
        <v>1000</v>
      </c>
      <c r="F30" s="156">
        <v>2000</v>
      </c>
      <c r="G30" s="155">
        <f t="shared" si="4"/>
        <v>38.4</v>
      </c>
      <c r="H30" s="155">
        <f t="shared" si="5"/>
        <v>76.8</v>
      </c>
      <c r="I30" s="155">
        <f t="shared" si="6"/>
        <v>12057.292799999997</v>
      </c>
      <c r="J30" s="155">
        <f t="shared" si="7"/>
        <v>6028.646399999999</v>
      </c>
      <c r="K30" s="58">
        <f>Головна!F2*5.34</f>
        <v>156.99599999999998</v>
      </c>
    </row>
    <row r="31" spans="1:11" ht="15">
      <c r="A31" s="490"/>
      <c r="B31" s="490"/>
      <c r="C31" s="170">
        <v>0.96</v>
      </c>
      <c r="D31" s="152">
        <v>50</v>
      </c>
      <c r="E31" s="152">
        <v>1000</v>
      </c>
      <c r="F31" s="152">
        <v>2000</v>
      </c>
      <c r="G31" s="151">
        <f t="shared" si="4"/>
        <v>48</v>
      </c>
      <c r="H31" s="151">
        <f t="shared" si="5"/>
        <v>96</v>
      </c>
      <c r="I31" s="151">
        <f t="shared" si="6"/>
        <v>14493.024</v>
      </c>
      <c r="J31" s="151">
        <f t="shared" si="7"/>
        <v>7246.512</v>
      </c>
      <c r="K31" s="58">
        <f>Головна!F2*5.135</f>
        <v>150.969</v>
      </c>
    </row>
    <row r="32" spans="1:11" ht="15">
      <c r="A32" s="490"/>
      <c r="B32" s="490"/>
      <c r="C32" s="170">
        <v>0.96</v>
      </c>
      <c r="D32" s="152">
        <v>60</v>
      </c>
      <c r="E32" s="152">
        <v>1000</v>
      </c>
      <c r="F32" s="152">
        <v>2000</v>
      </c>
      <c r="G32" s="151">
        <f t="shared" si="4"/>
        <v>57.6</v>
      </c>
      <c r="H32" s="151">
        <f t="shared" si="5"/>
        <v>115.2</v>
      </c>
      <c r="I32" s="151">
        <f t="shared" si="6"/>
        <v>17391.6288</v>
      </c>
      <c r="J32" s="151">
        <f t="shared" si="7"/>
        <v>8695.8144</v>
      </c>
      <c r="K32" s="58">
        <f>Головна!F2*5.135</f>
        <v>150.969</v>
      </c>
    </row>
    <row r="33" spans="1:11" ht="15">
      <c r="A33" s="490"/>
      <c r="B33" s="490"/>
      <c r="C33" s="170">
        <v>0.96</v>
      </c>
      <c r="D33" s="152">
        <v>70</v>
      </c>
      <c r="E33" s="152">
        <v>1000</v>
      </c>
      <c r="F33" s="152">
        <v>2000</v>
      </c>
      <c r="G33" s="151">
        <f t="shared" si="4"/>
        <v>67.2</v>
      </c>
      <c r="H33" s="151">
        <f t="shared" si="5"/>
        <v>134.4</v>
      </c>
      <c r="I33" s="151">
        <f t="shared" si="6"/>
        <v>21337.344</v>
      </c>
      <c r="J33" s="151">
        <f t="shared" si="7"/>
        <v>10668.672</v>
      </c>
      <c r="K33" s="58">
        <f>Головна!F2*5.4</f>
        <v>158.76</v>
      </c>
    </row>
    <row r="34" spans="1:11" ht="15">
      <c r="A34" s="490"/>
      <c r="B34" s="490"/>
      <c r="C34" s="170">
        <v>0.96</v>
      </c>
      <c r="D34" s="152">
        <v>80</v>
      </c>
      <c r="E34" s="152">
        <v>1000</v>
      </c>
      <c r="F34" s="152">
        <v>2000</v>
      </c>
      <c r="G34" s="151">
        <f t="shared" si="4"/>
        <v>76.8</v>
      </c>
      <c r="H34" s="151">
        <f t="shared" si="5"/>
        <v>153.6</v>
      </c>
      <c r="I34" s="151">
        <f t="shared" si="6"/>
        <v>24385.535999999996</v>
      </c>
      <c r="J34" s="151">
        <f t="shared" si="7"/>
        <v>12192.767999999998</v>
      </c>
      <c r="K34" s="58">
        <f>Головна!F2*5.4</f>
        <v>158.76</v>
      </c>
    </row>
    <row r="35" spans="1:11" ht="15">
      <c r="A35" s="490"/>
      <c r="B35" s="490"/>
      <c r="C35" s="170">
        <v>0.96</v>
      </c>
      <c r="D35" s="152">
        <v>90</v>
      </c>
      <c r="E35" s="152">
        <v>1000</v>
      </c>
      <c r="F35" s="152">
        <v>2000</v>
      </c>
      <c r="G35" s="151">
        <f t="shared" si="4"/>
        <v>86.39999999999999</v>
      </c>
      <c r="H35" s="151">
        <f t="shared" si="5"/>
        <v>172.79999999999998</v>
      </c>
      <c r="I35" s="151">
        <f t="shared" si="6"/>
        <v>27941.759999999995</v>
      </c>
      <c r="J35" s="151">
        <f t="shared" si="7"/>
        <v>13970.879999999997</v>
      </c>
      <c r="K35" s="58">
        <f>Головна!F2*5.5</f>
        <v>161.7</v>
      </c>
    </row>
    <row r="36" spans="1:11" ht="15">
      <c r="A36" s="490"/>
      <c r="B36" s="490"/>
      <c r="C36" s="172">
        <v>0.96</v>
      </c>
      <c r="D36" s="173">
        <v>100</v>
      </c>
      <c r="E36" s="173">
        <v>1000</v>
      </c>
      <c r="F36" s="173">
        <v>2000</v>
      </c>
      <c r="G36" s="165">
        <f t="shared" si="4"/>
        <v>96</v>
      </c>
      <c r="H36" s="160">
        <f t="shared" si="5"/>
        <v>192</v>
      </c>
      <c r="I36" s="160">
        <f t="shared" si="6"/>
        <v>31046.399999999998</v>
      </c>
      <c r="J36" s="160">
        <f t="shared" si="7"/>
        <v>15523.199999999999</v>
      </c>
      <c r="K36" s="58">
        <f>Головна!F2*5.5</f>
        <v>161.7</v>
      </c>
    </row>
    <row r="37" spans="1:11" ht="15" customHeight="1">
      <c r="A37" s="487" t="s">
        <v>388</v>
      </c>
      <c r="B37" s="487"/>
      <c r="C37" s="487"/>
      <c r="D37" s="487"/>
      <c r="E37" s="487"/>
      <c r="F37" s="487"/>
      <c r="G37" s="487"/>
      <c r="H37" s="487"/>
      <c r="I37" s="487"/>
      <c r="J37" s="487"/>
      <c r="K37" s="58"/>
    </row>
    <row r="38" spans="1:11" ht="12.7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58"/>
    </row>
    <row r="39" spans="1:10" ht="15" customHeight="1">
      <c r="A39" s="488" t="s">
        <v>389</v>
      </c>
      <c r="B39" s="488"/>
      <c r="C39" s="488"/>
      <c r="D39" s="488"/>
      <c r="E39" s="488"/>
      <c r="F39" s="488"/>
      <c r="G39" s="488"/>
      <c r="H39" s="488"/>
      <c r="I39" s="488"/>
      <c r="J39" s="488"/>
    </row>
    <row r="40" spans="1:10" ht="15">
      <c r="A40" s="488"/>
      <c r="B40" s="488"/>
      <c r="C40" s="488"/>
      <c r="D40" s="488"/>
      <c r="E40" s="488"/>
      <c r="F40" s="488"/>
      <c r="G40" s="488"/>
      <c r="H40" s="488"/>
      <c r="I40" s="488"/>
      <c r="J40" s="488"/>
    </row>
    <row r="41" spans="1:10" ht="27" customHeight="1">
      <c r="A41" s="488"/>
      <c r="B41" s="488"/>
      <c r="C41" s="488"/>
      <c r="D41" s="488"/>
      <c r="E41" s="488"/>
      <c r="F41" s="488"/>
      <c r="G41" s="488"/>
      <c r="H41" s="488"/>
      <c r="I41" s="488"/>
      <c r="J41" s="488"/>
    </row>
    <row r="42" ht="15">
      <c r="A42" s="11" t="str">
        <f>Головна!A32</f>
        <v>Всі ціни вказані станом на 05.07.2019 р.</v>
      </c>
    </row>
  </sheetData>
  <sheetProtection selectLockedCells="1" selectUnlockedCells="1"/>
  <mergeCells count="20">
    <mergeCell ref="A11:G11"/>
    <mergeCell ref="H11:J11"/>
    <mergeCell ref="A12:A21"/>
    <mergeCell ref="B12:B21"/>
    <mergeCell ref="A1:K2"/>
    <mergeCell ref="A3:L3"/>
    <mergeCell ref="A4:J4"/>
    <mergeCell ref="A5:J5"/>
    <mergeCell ref="A37:J37"/>
    <mergeCell ref="A39:J41"/>
    <mergeCell ref="A22:G22"/>
    <mergeCell ref="H22:J22"/>
    <mergeCell ref="A23:A36"/>
    <mergeCell ref="B23:B36"/>
    <mergeCell ref="A6:D6"/>
    <mergeCell ref="E6:H9"/>
    <mergeCell ref="I6:J9"/>
    <mergeCell ref="A7:D7"/>
    <mergeCell ref="A8:D8"/>
    <mergeCell ref="A9:D9"/>
  </mergeCells>
  <hyperlinks>
    <hyperlink ref="A9" r:id="rId1" display="http://plastics.ua/industrial/ПЭ-500"/>
    <hyperlink ref="H11" r:id="rId2" display="Смотреть на сайте"/>
    <hyperlink ref="H22" r:id="rId3" display="Смотреть на сайте"/>
    <hyperlink ref="K22" location="Главная!A1" display="на главную"/>
  </hyperlinks>
  <printOptions/>
  <pageMargins left="0.9840277777777777" right="0.39375" top="0.39375" bottom="0.39375" header="0.5118055555555555" footer="0.5118055555555555"/>
  <pageSetup horizontalDpi="300" verticalDpi="300" orientation="portrait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БИЛЬД</dc:creator>
  <cp:keywords/>
  <dc:description/>
  <cp:lastModifiedBy>Plastics</cp:lastModifiedBy>
  <cp:lastPrinted>2018-11-28T10:55:26Z</cp:lastPrinted>
  <dcterms:created xsi:type="dcterms:W3CDTF">2016-02-01T14:59:14Z</dcterms:created>
  <dcterms:modified xsi:type="dcterms:W3CDTF">2019-07-08T08:17:24Z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